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hidePivotFieldList="1" defaultThemeVersion="124226"/>
  <mc:AlternateContent xmlns:mc="http://schemas.openxmlformats.org/markup-compatibility/2006">
    <mc:Choice Requires="x15">
      <x15ac:absPath xmlns:x15ac="http://schemas.microsoft.com/office/spreadsheetml/2010/11/ac" url="https://itceduco-my.sharepoint.com/personal/plandeaccion_itc_edu_co/Documents/ETITC 2025/Seguimiento de Riesgos II Cuatrimestre/"/>
    </mc:Choice>
  </mc:AlternateContent>
  <xr:revisionPtr revIDLastSave="108" documentId="8_{FF652EEF-8C67-4DB4-BEDB-CF2DC39A2A2F}" xr6:coauthVersionLast="47" xr6:coauthVersionMax="47" xr10:uidLastSave="{E43E1445-3D6D-4C44-8519-9A0B40A90612}"/>
  <bookViews>
    <workbookView showSheetTabs="0" xWindow="20370" yWindow="1920" windowWidth="20640" windowHeight="11160" tabRatio="920" xr2:uid="{00000000-000D-0000-FFFF-FFFF00000000}"/>
  </bookViews>
  <sheets>
    <sheet name="PORTADA " sheetId="22" r:id="rId1"/>
    <sheet name="CRITERIOS R CORRUPCION" sheetId="27" r:id="rId2"/>
    <sheet name="Mapa final SGI" sheetId="36" r:id="rId3"/>
    <sheet name="Mapa final AU" sheetId="45" r:id="rId4"/>
    <sheet name="Mapa final GC" sheetId="1" r:id="rId5"/>
    <sheet name="Mapa final AM" sheetId="34" r:id="rId6"/>
    <sheet name="Mapa final SI" sheetId="42" r:id="rId7"/>
    <sheet name="Mapa final SST" sheetId="35" r:id="rId8"/>
    <sheet name="LISTA" sheetId="28" r:id="rId9"/>
    <sheet name="Apayo Visual " sheetId="31" r:id="rId10"/>
    <sheet name="Matriz Calor Inherente" sheetId="18" r:id="rId11"/>
    <sheet name="Matriz Calor Residual" sheetId="19" r:id="rId12"/>
    <sheet name="CAMBIOS REGISTRO" sheetId="25" r:id="rId13"/>
    <sheet name="SGI" sheetId="24" r:id="rId14"/>
    <sheet name="Intructivo" sheetId="20" r:id="rId15"/>
    <sheet name="CONTROL DE CAMBIOS REGISTRO " sheetId="23" r:id="rId16"/>
    <sheet name="Listas" sheetId="21" r:id="rId17"/>
    <sheet name="Control de Cambios FORMATO " sheetId="26" r:id="rId18"/>
    <sheet name="Tabla probabilidad" sheetId="12" r:id="rId19"/>
    <sheet name="Tabla Impacto" sheetId="13" r:id="rId20"/>
    <sheet name="Tabla Valoración controles" sheetId="15" r:id="rId21"/>
    <sheet name="Opciones Tratamiento" sheetId="16" r:id="rId22"/>
    <sheet name="Hoja1" sheetId="1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4" hidden="1">'Mapa final GC'!$A$11:$BB$23</definedName>
    <definedName name="_xlnm._FilterDatabase" localSheetId="2" hidden="1">'Mapa final SGI'!$A$11:$BE$48</definedName>
    <definedName name="_xlnm._FilterDatabase" localSheetId="6" hidden="1">'Mapa final SI'!$A$11:$BC$39</definedName>
    <definedName name="A_Obj1" localSheetId="12">OFFSET(#REF!,0,0,COUNTA(#REF!)-1,1)</definedName>
    <definedName name="A_Obj1" localSheetId="17">OFFSET(#REF!,0,0,COUNTA(#REF!)-1,1)</definedName>
    <definedName name="A_Obj1">OFFSET(#REF!,0,0,COUNTA(#REF!)-1,1)</definedName>
    <definedName name="A_Obj2" localSheetId="12">OFFSET(#REF!,0,0,COUNTA(#REF!)-1,1)</definedName>
    <definedName name="A_Obj2" localSheetId="17">OFFSET(#REF!,0,0,COUNTA(#REF!)-1,1)</definedName>
    <definedName name="A_Obj2">OFFSET(#REF!,0,0,COUNTA(#REF!)-1,1)</definedName>
    <definedName name="A_Obj3" localSheetId="12">OFFSET(#REF!,0,0,COUNTA(#REF!)-1,1)</definedName>
    <definedName name="A_Obj3" localSheetId="17">OFFSET(#REF!,0,0,COUNTA(#REF!)-1,1)</definedName>
    <definedName name="A_Obj3">OFFSET(#REF!,0,0,COUNTA(#REF!)-1,1)</definedName>
    <definedName name="A_Obj4" localSheetId="12">OFFSET(#REF!,0,0,COUNTA(#REF!)-1,1)</definedName>
    <definedName name="A_Obj4" localSheetId="17">OFFSET(#REF!,0,0,COUNTA(#REF!)-1,1)</definedName>
    <definedName name="A_Obj4">OFFSET(#REF!,0,0,COUNTA(#REF!)-1,1)</definedName>
    <definedName name="Acc_1" localSheetId="12">#REF!</definedName>
    <definedName name="Acc_1" localSheetId="17">#REF!</definedName>
    <definedName name="Acc_1">#REF!</definedName>
    <definedName name="Acc_2" localSheetId="12">#REF!</definedName>
    <definedName name="Acc_2" localSheetId="17">#REF!</definedName>
    <definedName name="Acc_2">#REF!</definedName>
    <definedName name="Acc_3" localSheetId="12">#REF!</definedName>
    <definedName name="Acc_3" localSheetId="17">#REF!</definedName>
    <definedName name="Acc_3">#REF!</definedName>
    <definedName name="Acc_4" localSheetId="12">#REF!</definedName>
    <definedName name="Acc_4" localSheetId="17">#REF!</definedName>
    <definedName name="Acc_4">#REF!</definedName>
    <definedName name="Acc_5" localSheetId="12">#REF!</definedName>
    <definedName name="Acc_5" localSheetId="17">#REF!</definedName>
    <definedName name="Acc_5">#REF!</definedName>
    <definedName name="Acc_6" localSheetId="12">#REF!</definedName>
    <definedName name="Acc_6" localSheetId="17">#REF!</definedName>
    <definedName name="Acc_6">#REF!</definedName>
    <definedName name="Acc_7" localSheetId="12">#REF!</definedName>
    <definedName name="Acc_7" localSheetId="17">#REF!</definedName>
    <definedName name="Acc_7">#REF!</definedName>
    <definedName name="Acc_8" localSheetId="12">#REF!</definedName>
    <definedName name="Acc_8" localSheetId="17">#REF!</definedName>
    <definedName name="Acc_8">#REF!</definedName>
    <definedName name="Acc_9" localSheetId="12">#REF!</definedName>
    <definedName name="Acc_9" localSheetId="17">#REF!</definedName>
    <definedName name="Acc_9">#REF!</definedName>
    <definedName name="_xlnm.Print_Area" localSheetId="12">'CAMBIOS REGISTRO'!$A$1:$E$23</definedName>
    <definedName name="_xlnm.Print_Area" localSheetId="17">'Control de Cambios FORMATO '!$A$1:$L$26</definedName>
    <definedName name="Causafactor3">'[1]Explicación de los campos'!$B$2:$B$9</definedName>
    <definedName name="ControlTipo">[1]Hoja2!$AI$3:$AI$6</definedName>
    <definedName name="Departamentos" localSheetId="12">#REF!</definedName>
    <definedName name="Departamentos" localSheetId="17">#REF!</definedName>
    <definedName name="Departamentos">#REF!</definedName>
    <definedName name="Fuentes" localSheetId="12">#REF!</definedName>
    <definedName name="Fuentes" localSheetId="17">#REF!</definedName>
    <definedName name="Fuentes">#REF!</definedName>
    <definedName name="Indicadores" localSheetId="12">#REF!</definedName>
    <definedName name="Indicadores" localSheetId="17">#REF!</definedName>
    <definedName name="Indicadores">#REF!</definedName>
    <definedName name="No_aplica" localSheetId="17">#REF!</definedName>
    <definedName name="No_aplica">#REF!</definedName>
    <definedName name="Objetivos" localSheetId="12">OFFSET(#REF!,0,0,COUNTA(#REF!)-1,1)</definedName>
    <definedName name="Objetivos" localSheetId="17">OFFSET(#REF!,0,0,COUNTA(#REF!)-1,1)</definedName>
    <definedName name="Objetivos">OFFSET(#REF!,0,0,COUNTA(#REF!)-1,1)</definedName>
    <definedName name="OLE_LINK2" localSheetId="12">'CAMBIOS REGISTRO'!$A$1</definedName>
    <definedName name="Posibilidad">[1]Hoja2!$H$3:$H$7</definedName>
    <definedName name="RiesgoClase3">'[1]Explicación de los campos'!$G$2:$G$8</definedName>
    <definedName name="SiNo">[1]Hoja2!$AK$3:$AK$4</definedName>
  </definedNames>
  <calcPr calcId="191029"/>
  <pivotCaches>
    <pivotCache cacheId="3" r:id="rId3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 i="34" l="1"/>
  <c r="AD23" i="34"/>
  <c r="AA23" i="34"/>
  <c r="AM23" i="34" s="1"/>
  <c r="AL23" i="34" s="1"/>
  <c r="T23" i="34"/>
  <c r="U23" i="34" s="1"/>
  <c r="V23" i="34" s="1"/>
  <c r="Q23" i="34"/>
  <c r="AM22" i="34"/>
  <c r="AL22" i="34" s="1"/>
  <c r="AJ22" i="34"/>
  <c r="AI22" i="34"/>
  <c r="AK22" i="34" s="1"/>
  <c r="AD22" i="34"/>
  <c r="AA22" i="34"/>
  <c r="T22" i="34"/>
  <c r="U22" i="34" s="1"/>
  <c r="R22" i="34"/>
  <c r="Q22" i="34"/>
  <c r="AD21" i="34"/>
  <c r="AA21" i="34"/>
  <c r="AM21" i="34" s="1"/>
  <c r="AL21" i="34" s="1"/>
  <c r="T21" i="34"/>
  <c r="U21" i="34" s="1"/>
  <c r="V21" i="34" s="1"/>
  <c r="Q21" i="34"/>
  <c r="AM20" i="34"/>
  <c r="AL20" i="34" s="1"/>
  <c r="AJ20" i="34"/>
  <c r="AI20" i="34"/>
  <c r="AK20" i="34" s="1"/>
  <c r="AD20" i="34"/>
  <c r="AA20" i="34"/>
  <c r="T20" i="34"/>
  <c r="U20" i="34" s="1"/>
  <c r="R20" i="34"/>
  <c r="Q20" i="34"/>
  <c r="AD19" i="34"/>
  <c r="AA19" i="34"/>
  <c r="AM19" i="34" s="1"/>
  <c r="V19" i="34"/>
  <c r="T19" i="34"/>
  <c r="AD18" i="34"/>
  <c r="AA18" i="34"/>
  <c r="AM18" i="34" s="1"/>
  <c r="V18" i="34"/>
  <c r="T18" i="34"/>
  <c r="AD17" i="34"/>
  <c r="AA17" i="34"/>
  <c r="V17" i="34"/>
  <c r="T17" i="34"/>
  <c r="AD16" i="34"/>
  <c r="AA16" i="34"/>
  <c r="T16" i="34"/>
  <c r="U16" i="34" s="1"/>
  <c r="V16" i="34" s="1"/>
  <c r="AM16" i="34" s="1"/>
  <c r="AL16" i="34" s="1"/>
  <c r="Q16" i="34"/>
  <c r="Z23" i="18"/>
  <c r="N23" i="18"/>
  <c r="AL19" i="18"/>
  <c r="Q27" i="45"/>
  <c r="AD22" i="45"/>
  <c r="AA22" i="45"/>
  <c r="AM22" i="45" s="1"/>
  <c r="AL22" i="45" s="1"/>
  <c r="T22" i="45"/>
  <c r="U22" i="45" s="1"/>
  <c r="V22" i="45" s="1"/>
  <c r="Q22" i="45"/>
  <c r="R22" i="45" s="1"/>
  <c r="AM21" i="45"/>
  <c r="AL21" i="45" s="1"/>
  <c r="AD21" i="45"/>
  <c r="AA21" i="45"/>
  <c r="AI21" i="45" s="1"/>
  <c r="T21" i="45"/>
  <c r="U21" i="45" s="1"/>
  <c r="V21" i="45" s="1"/>
  <c r="Q21" i="45"/>
  <c r="AD20" i="45"/>
  <c r="AA20" i="45"/>
  <c r="AI20" i="45" s="1"/>
  <c r="T20" i="45"/>
  <c r="U20" i="45" s="1"/>
  <c r="V20" i="45" s="1"/>
  <c r="Q20" i="45"/>
  <c r="L41" i="18" s="1"/>
  <c r="AM19" i="45"/>
  <c r="AL19" i="45" s="1"/>
  <c r="AI19" i="45"/>
  <c r="AK19" i="45" s="1"/>
  <c r="AD19" i="45"/>
  <c r="AA19" i="45"/>
  <c r="T19" i="45"/>
  <c r="U19" i="45" s="1"/>
  <c r="V19" i="45" s="1"/>
  <c r="Q19" i="45"/>
  <c r="N39" i="18" s="1"/>
  <c r="AD18" i="45"/>
  <c r="AA18" i="45"/>
  <c r="T18" i="45"/>
  <c r="U18" i="45" s="1"/>
  <c r="V18" i="45" s="1"/>
  <c r="AM18" i="45" s="1"/>
  <c r="AL18" i="45" s="1"/>
  <c r="Q18" i="45"/>
  <c r="N37" i="18" s="1"/>
  <c r="AD17" i="45"/>
  <c r="AA17" i="45"/>
  <c r="T17" i="45"/>
  <c r="U17" i="45" s="1"/>
  <c r="Q17" i="45"/>
  <c r="R17" i="45" s="1"/>
  <c r="AD16" i="45"/>
  <c r="AA16" i="45"/>
  <c r="T16" i="45"/>
  <c r="U16" i="45" s="1"/>
  <c r="N35" i="18" s="1"/>
  <c r="Q16" i="45"/>
  <c r="R16" i="45" s="1"/>
  <c r="AD15" i="45"/>
  <c r="AA15" i="45"/>
  <c r="T15" i="45"/>
  <c r="U15" i="45" s="1"/>
  <c r="V15" i="45" s="1"/>
  <c r="Q15" i="45"/>
  <c r="R15" i="45" s="1"/>
  <c r="AN22" i="34" l="1"/>
  <c r="W21" i="34"/>
  <c r="W23" i="34"/>
  <c r="W16" i="34"/>
  <c r="V22" i="34"/>
  <c r="W22" i="34"/>
  <c r="V20" i="34"/>
  <c r="W20" i="34"/>
  <c r="AN20" i="34"/>
  <c r="R16" i="34"/>
  <c r="AI18" i="34"/>
  <c r="AK18" i="34" s="1"/>
  <c r="AI21" i="34"/>
  <c r="AI23" i="34"/>
  <c r="AM17" i="34"/>
  <c r="R21" i="34"/>
  <c r="R23" i="34"/>
  <c r="P37" i="18"/>
  <c r="L35" i="18"/>
  <c r="L45" i="18"/>
  <c r="AJ19" i="45"/>
  <c r="AN19" i="45" s="1"/>
  <c r="L39" i="18"/>
  <c r="Z19" i="18"/>
  <c r="P41" i="18"/>
  <c r="N41" i="18"/>
  <c r="P39" i="18"/>
  <c r="L37" i="18"/>
  <c r="L43" i="18"/>
  <c r="N19" i="18"/>
  <c r="AM20" i="45"/>
  <c r="AL20" i="45" s="1"/>
  <c r="P35" i="18"/>
  <c r="P43" i="18"/>
  <c r="V17" i="45"/>
  <c r="W17" i="45"/>
  <c r="W21" i="45"/>
  <c r="AK20" i="45"/>
  <c r="AJ20" i="45"/>
  <c r="AN20" i="45" s="1"/>
  <c r="W18" i="45"/>
  <c r="W19" i="45"/>
  <c r="AM15" i="45"/>
  <c r="AL15" i="45" s="1"/>
  <c r="W20" i="45"/>
  <c r="AK21" i="45"/>
  <c r="AJ21" i="45"/>
  <c r="AN21" i="45" s="1"/>
  <c r="AM17" i="45"/>
  <c r="AL17" i="45" s="1"/>
  <c r="V16" i="45"/>
  <c r="W16" i="45"/>
  <c r="AM16" i="45"/>
  <c r="AL16" i="45" s="1"/>
  <c r="W15" i="45"/>
  <c r="R21" i="45"/>
  <c r="AI17" i="45"/>
  <c r="R20" i="45"/>
  <c r="W22" i="45"/>
  <c r="R19" i="45"/>
  <c r="AI22" i="45"/>
  <c r="AI16" i="45"/>
  <c r="R18" i="45"/>
  <c r="AI18" i="45" s="1"/>
  <c r="AI15" i="45"/>
  <c r="AK23" i="34" l="1"/>
  <c r="AJ23" i="34"/>
  <c r="AN23" i="34" s="1"/>
  <c r="AI16" i="34"/>
  <c r="AI19" i="34"/>
  <c r="AK19" i="34" s="1"/>
  <c r="AI17" i="34"/>
  <c r="AK17" i="34" s="1"/>
  <c r="AK21" i="34"/>
  <c r="AJ21" i="34"/>
  <c r="AN21" i="34" s="1"/>
  <c r="AJ18" i="45"/>
  <c r="AK18" i="45"/>
  <c r="AK16" i="45"/>
  <c r="AJ16" i="45"/>
  <c r="AK22" i="45"/>
  <c r="AJ22" i="45"/>
  <c r="AN22" i="45" s="1"/>
  <c r="AK15" i="45"/>
  <c r="AJ15" i="45"/>
  <c r="AK17" i="45"/>
  <c r="AJ17" i="45"/>
  <c r="AK16" i="34" l="1"/>
  <c r="AJ16" i="34"/>
  <c r="AN16" i="34" s="1"/>
  <c r="AN17" i="45"/>
  <c r="K53" i="19"/>
  <c r="AN15" i="45"/>
  <c r="K52" i="19"/>
  <c r="AN16" i="45"/>
  <c r="L32" i="19"/>
  <c r="AN18" i="45"/>
  <c r="L52" i="19"/>
  <c r="Q43" i="42"/>
  <c r="AD38" i="42"/>
  <c r="Q38" i="42"/>
  <c r="AD37" i="42"/>
  <c r="Q37" i="42"/>
  <c r="AD36" i="42"/>
  <c r="Q36" i="42"/>
  <c r="AD35" i="42"/>
  <c r="Q35" i="42"/>
  <c r="R35" i="42" s="1"/>
  <c r="AD34" i="42"/>
  <c r="Q34" i="42"/>
  <c r="AK33" i="42"/>
  <c r="AJ33" i="42"/>
  <c r="AD33" i="42"/>
  <c r="AA33" i="42"/>
  <c r="T33" i="42"/>
  <c r="U33" i="42" s="1"/>
  <c r="V33" i="42" s="1"/>
  <c r="Q33" i="42"/>
  <c r="R33" i="42" s="1"/>
  <c r="AK32" i="42"/>
  <c r="AJ32" i="42"/>
  <c r="AD32" i="42"/>
  <c r="AA32" i="42"/>
  <c r="T32" i="42"/>
  <c r="U32" i="42" s="1"/>
  <c r="V32" i="42" s="1"/>
  <c r="AM32" i="42" s="1"/>
  <c r="AL32" i="42" s="1"/>
  <c r="Q32" i="42"/>
  <c r="AK31" i="42"/>
  <c r="AJ31" i="42"/>
  <c r="AD31" i="42"/>
  <c r="AA31" i="42"/>
  <c r="T31" i="42"/>
  <c r="U31" i="42" s="1"/>
  <c r="V31" i="42" s="1"/>
  <c r="AM31" i="42" s="1"/>
  <c r="AL31" i="42" s="1"/>
  <c r="Q31" i="42"/>
  <c r="AK30" i="42"/>
  <c r="AJ30" i="42"/>
  <c r="AD30" i="42"/>
  <c r="AA30" i="42"/>
  <c r="T30" i="42"/>
  <c r="U30" i="42" s="1"/>
  <c r="Q30" i="42"/>
  <c r="R30" i="42" s="1"/>
  <c r="AD29" i="42"/>
  <c r="V29" i="42"/>
  <c r="AD28" i="42"/>
  <c r="AA28" i="42"/>
  <c r="T28" i="42"/>
  <c r="U28" i="42" s="1"/>
  <c r="Q28" i="42"/>
  <c r="AN25" i="18" s="1"/>
  <c r="AD27" i="42"/>
  <c r="T27" i="42"/>
  <c r="U27" i="42" s="1"/>
  <c r="Q27" i="42"/>
  <c r="R27" i="42" s="1"/>
  <c r="AD26" i="42"/>
  <c r="T26" i="42"/>
  <c r="U26" i="42" s="1"/>
  <c r="V26" i="42" s="1"/>
  <c r="AM26" i="42" s="1"/>
  <c r="AL26" i="42" s="1"/>
  <c r="Q26" i="42"/>
  <c r="R26" i="42" s="1"/>
  <c r="AD25" i="42"/>
  <c r="AA25" i="42"/>
  <c r="T25" i="42"/>
  <c r="U25" i="42" s="1"/>
  <c r="V25" i="42" s="1"/>
  <c r="Q25" i="42"/>
  <c r="R25" i="42" s="1"/>
  <c r="AD24" i="42"/>
  <c r="AA24" i="42"/>
  <c r="T24" i="42"/>
  <c r="U24" i="42" s="1"/>
  <c r="V24" i="42" s="1"/>
  <c r="Q24" i="42"/>
  <c r="AD23" i="42"/>
  <c r="AA23" i="42"/>
  <c r="T23" i="42"/>
  <c r="U23" i="42" s="1"/>
  <c r="V23" i="42" s="1"/>
  <c r="Q23" i="42"/>
  <c r="AD22" i="42"/>
  <c r="AA22" i="42"/>
  <c r="T22" i="42"/>
  <c r="U22" i="42" s="1"/>
  <c r="V22" i="42" s="1"/>
  <c r="Q22" i="42"/>
  <c r="R22" i="42" s="1"/>
  <c r="AD21" i="42"/>
  <c r="AA21" i="42"/>
  <c r="Q21" i="42"/>
  <c r="R21" i="42" s="1"/>
  <c r="AD20" i="42"/>
  <c r="Q20" i="42"/>
  <c r="R20" i="42" s="1"/>
  <c r="AD19" i="42"/>
  <c r="AA19" i="42"/>
  <c r="Q19" i="42"/>
  <c r="R19" i="42" s="1"/>
  <c r="AD18" i="42"/>
  <c r="Q18" i="42"/>
  <c r="R18" i="42" s="1"/>
  <c r="AD17" i="42"/>
  <c r="Q17" i="42"/>
  <c r="R17" i="42" s="1"/>
  <c r="AD16" i="42"/>
  <c r="Q16" i="42"/>
  <c r="AD15" i="42"/>
  <c r="AA15" i="42"/>
  <c r="R15" i="42"/>
  <c r="Q15" i="42"/>
  <c r="AN31" i="42" l="1"/>
  <c r="AM22" i="42"/>
  <c r="AL22" i="42" s="1"/>
  <c r="AM23" i="42"/>
  <c r="AL23" i="42" s="1"/>
  <c r="AM24" i="42"/>
  <c r="AL24" i="42" s="1"/>
  <c r="W27" i="42"/>
  <c r="AI22" i="42"/>
  <c r="AK22" i="42" s="1"/>
  <c r="AI23" i="42" s="1"/>
  <c r="AD23" i="18"/>
  <c r="R28" i="42"/>
  <c r="AI28" i="42" s="1"/>
  <c r="AN32" i="42"/>
  <c r="R34" i="42"/>
  <c r="AI34" i="42" s="1"/>
  <c r="W23" i="42"/>
  <c r="W22" i="42"/>
  <c r="W32" i="42"/>
  <c r="AM25" i="42"/>
  <c r="AL25" i="42" s="1"/>
  <c r="W30" i="42"/>
  <c r="V30" i="42"/>
  <c r="AM30" i="42" s="1"/>
  <c r="AL30" i="42" s="1"/>
  <c r="AN30" i="42" s="1"/>
  <c r="AM33" i="42"/>
  <c r="AL33" i="42" s="1"/>
  <c r="AN33" i="42" s="1"/>
  <c r="W31" i="42"/>
  <c r="W28" i="42"/>
  <c r="V28" i="42"/>
  <c r="AM28" i="42" s="1"/>
  <c r="AL28" i="42" s="1"/>
  <c r="W24" i="42"/>
  <c r="R24" i="42"/>
  <c r="W26" i="42"/>
  <c r="R32" i="42"/>
  <c r="W33" i="42"/>
  <c r="R37" i="42"/>
  <c r="R38" i="42"/>
  <c r="R23" i="42"/>
  <c r="W25" i="42"/>
  <c r="V27" i="42"/>
  <c r="AM27" i="42" s="1"/>
  <c r="AL27" i="42" s="1"/>
  <c r="R31" i="42"/>
  <c r="R36" i="42"/>
  <c r="R16" i="42"/>
  <c r="AI15" i="42"/>
  <c r="AK28" i="42" l="1"/>
  <c r="AJ28" i="42"/>
  <c r="AI34" i="19" s="1"/>
  <c r="AK34" i="42"/>
  <c r="AI35" i="42" s="1"/>
  <c r="AJ35" i="42" s="1"/>
  <c r="AJ34" i="42"/>
  <c r="AK23" i="42"/>
  <c r="AI24" i="42" s="1"/>
  <c r="AK24" i="42" s="1"/>
  <c r="AI25" i="42" s="1"/>
  <c r="AJ23" i="42"/>
  <c r="AN23" i="42" s="1"/>
  <c r="AJ22" i="42"/>
  <c r="AK35" i="42"/>
  <c r="AI36" i="42" s="1"/>
  <c r="AK15" i="42"/>
  <c r="AI16" i="42" s="1"/>
  <c r="AJ15" i="42"/>
  <c r="AN28" i="42"/>
  <c r="AN22" i="42" l="1"/>
  <c r="AC33" i="19"/>
  <c r="AJ24" i="42"/>
  <c r="AN24" i="42" s="1"/>
  <c r="AK16" i="42"/>
  <c r="AI17" i="42" s="1"/>
  <c r="AJ16" i="42"/>
  <c r="AK36" i="42"/>
  <c r="AI37" i="42" s="1"/>
  <c r="AJ36" i="42"/>
  <c r="AJ25" i="42"/>
  <c r="AN25" i="42" s="1"/>
  <c r="AK25" i="42"/>
  <c r="AI26" i="42" s="1"/>
  <c r="AK26" i="42" l="1"/>
  <c r="AI27" i="42" s="1"/>
  <c r="AJ26" i="42"/>
  <c r="AN26" i="42" s="1"/>
  <c r="AK37" i="42"/>
  <c r="AI38" i="42" s="1"/>
  <c r="AJ37" i="42"/>
  <c r="AK17" i="42"/>
  <c r="AI18" i="42" s="1"/>
  <c r="AJ17" i="42"/>
  <c r="AK18" i="42" l="1"/>
  <c r="AI19" i="42" s="1"/>
  <c r="AJ18" i="42"/>
  <c r="AK38" i="42"/>
  <c r="AJ38" i="42"/>
  <c r="AK27" i="42"/>
  <c r="AJ27" i="42"/>
  <c r="AN27" i="42" s="1"/>
  <c r="AK19" i="42" l="1"/>
  <c r="AI20" i="42" s="1"/>
  <c r="AJ19" i="42"/>
  <c r="AK20" i="42" l="1"/>
  <c r="AI21" i="42" s="1"/>
  <c r="AJ20" i="42"/>
  <c r="AJ21" i="42" l="1"/>
  <c r="AK21" i="42"/>
  <c r="AC43" i="36" l="1"/>
  <c r="AC44" i="36"/>
  <c r="AC45" i="36"/>
  <c r="AF45" i="36"/>
  <c r="AF44" i="36"/>
  <c r="AF43" i="36"/>
  <c r="AF42" i="36"/>
  <c r="S45" i="36"/>
  <c r="V45" i="36"/>
  <c r="W45" i="36" s="1"/>
  <c r="X45" i="36" s="1"/>
  <c r="V44" i="36"/>
  <c r="W44" i="36" s="1"/>
  <c r="V43" i="36"/>
  <c r="W43" i="36" s="1"/>
  <c r="X43" i="36" s="1"/>
  <c r="V42" i="36"/>
  <c r="W42" i="36" s="1"/>
  <c r="X42" i="36" s="1"/>
  <c r="S42" i="36"/>
  <c r="T42" i="36" s="1"/>
  <c r="S43" i="36"/>
  <c r="T43" i="36" s="1"/>
  <c r="S44" i="36"/>
  <c r="T44" i="36" s="1"/>
  <c r="Y44" i="36" l="1"/>
  <c r="AO43" i="36"/>
  <c r="AN43" i="36" s="1"/>
  <c r="AO45" i="36"/>
  <c r="AN45" i="36" s="1"/>
  <c r="X44" i="36"/>
  <c r="AO44" i="36" s="1"/>
  <c r="AN44" i="36" s="1"/>
  <c r="Y43" i="36"/>
  <c r="Y45" i="36"/>
  <c r="Y42" i="36"/>
  <c r="AJ19" i="18" l="1"/>
  <c r="X27" i="18"/>
  <c r="AC35" i="36" l="1"/>
  <c r="AC36" i="36"/>
  <c r="AO36" i="36" s="1"/>
  <c r="AN36" i="36" s="1"/>
  <c r="AC37" i="36"/>
  <c r="AC38" i="36"/>
  <c r="AC39" i="36"/>
  <c r="AC40" i="36"/>
  <c r="AO40" i="36" s="1"/>
  <c r="AN40" i="36" s="1"/>
  <c r="AC41" i="36"/>
  <c r="AC42" i="36"/>
  <c r="AC47" i="36"/>
  <c r="AO47" i="36" s="1"/>
  <c r="AN47" i="36" s="1"/>
  <c r="AO38" i="36"/>
  <c r="AN38" i="36" s="1"/>
  <c r="AF41" i="36"/>
  <c r="AF40" i="36"/>
  <c r="AF39" i="36"/>
  <c r="AF38" i="36"/>
  <c r="AF37" i="36"/>
  <c r="AF36" i="36"/>
  <c r="AF35" i="36"/>
  <c r="S37" i="36"/>
  <c r="T37" i="36" s="1"/>
  <c r="S39" i="36"/>
  <c r="T39" i="36" s="1"/>
  <c r="S41" i="36"/>
  <c r="T41" i="36" s="1"/>
  <c r="AC31" i="36"/>
  <c r="AC32" i="36"/>
  <c r="AC33" i="36"/>
  <c r="AC34" i="36"/>
  <c r="AF34" i="36"/>
  <c r="AF33" i="36"/>
  <c r="AF32" i="36"/>
  <c r="AF31" i="36"/>
  <c r="V34" i="36"/>
  <c r="W34" i="36" s="1"/>
  <c r="X34" i="36" s="1"/>
  <c r="V33" i="36"/>
  <c r="W33" i="36" s="1"/>
  <c r="X33" i="36" s="1"/>
  <c r="V32" i="36"/>
  <c r="W32" i="36" s="1"/>
  <c r="X32" i="36" s="1"/>
  <c r="V31" i="36"/>
  <c r="W31" i="36" s="1"/>
  <c r="X31" i="36" s="1"/>
  <c r="S31" i="36"/>
  <c r="T31" i="36" s="1"/>
  <c r="S32" i="36"/>
  <c r="T32" i="36" s="1"/>
  <c r="S33" i="36"/>
  <c r="T33" i="36" s="1"/>
  <c r="S34" i="36"/>
  <c r="T34" i="36" s="1"/>
  <c r="S35" i="36"/>
  <c r="T35" i="36" s="1"/>
  <c r="AC30" i="36"/>
  <c r="AC29" i="36"/>
  <c r="AC28" i="36"/>
  <c r="AC27" i="36"/>
  <c r="AC26" i="36"/>
  <c r="AC25" i="36"/>
  <c r="V30" i="36"/>
  <c r="V28" i="36"/>
  <c r="V25" i="36"/>
  <c r="AO42" i="36" l="1"/>
  <c r="AN42" i="36" s="1"/>
  <c r="AK39" i="36"/>
  <c r="AK37" i="36"/>
  <c r="AK35" i="36"/>
  <c r="AL35" i="36" s="1"/>
  <c r="AK31" i="36"/>
  <c r="AL31" i="36" s="1"/>
  <c r="AK47" i="36"/>
  <c r="AL47" i="36" s="1"/>
  <c r="AP47" i="36" s="1"/>
  <c r="AK41" i="36"/>
  <c r="AO31" i="36"/>
  <c r="AN31" i="36" s="1"/>
  <c r="AO34" i="36"/>
  <c r="AN34" i="36" s="1"/>
  <c r="AO33" i="36"/>
  <c r="AN33" i="36" s="1"/>
  <c r="AO32" i="36"/>
  <c r="AN32" i="36" s="1"/>
  <c r="Y33" i="36"/>
  <c r="Y32" i="36"/>
  <c r="Y34" i="36"/>
  <c r="Y31" i="36"/>
  <c r="AF30" i="36"/>
  <c r="W30" i="36"/>
  <c r="S30" i="36"/>
  <c r="T30" i="36" s="1"/>
  <c r="AF29" i="36"/>
  <c r="AO29" i="36"/>
  <c r="AN29" i="36" s="1"/>
  <c r="AF28" i="36"/>
  <c r="W28" i="36"/>
  <c r="X28" i="36" s="1"/>
  <c r="AO28" i="36" s="1"/>
  <c r="AN28" i="36" s="1"/>
  <c r="S28" i="36"/>
  <c r="AF27" i="36"/>
  <c r="AF26" i="36"/>
  <c r="AO26" i="36"/>
  <c r="AN26" i="36" s="1"/>
  <c r="AF25" i="36"/>
  <c r="W25" i="36"/>
  <c r="S25" i="36"/>
  <c r="T25" i="36" s="1"/>
  <c r="AF24" i="36"/>
  <c r="AC24" i="36"/>
  <c r="V24" i="36"/>
  <c r="W24" i="36" s="1"/>
  <c r="S24" i="36"/>
  <c r="T24" i="36" s="1"/>
  <c r="S52" i="36"/>
  <c r="AF23" i="36"/>
  <c r="AC23" i="36"/>
  <c r="V23" i="36"/>
  <c r="W23" i="36" s="1"/>
  <c r="S23" i="36"/>
  <c r="T23" i="36" s="1"/>
  <c r="AF22" i="36"/>
  <c r="AC22" i="36"/>
  <c r="AO22" i="36" s="1"/>
  <c r="AN22" i="36" s="1"/>
  <c r="AF21" i="36"/>
  <c r="AC21" i="36"/>
  <c r="V21" i="36"/>
  <c r="W21" i="36" s="1"/>
  <c r="X21" i="36" s="1"/>
  <c r="S21" i="36"/>
  <c r="T21" i="36" s="1"/>
  <c r="AF20" i="36"/>
  <c r="AC20" i="36"/>
  <c r="V20" i="36"/>
  <c r="W20" i="36" s="1"/>
  <c r="S20" i="36"/>
  <c r="T20" i="36" s="1"/>
  <c r="AF19" i="36"/>
  <c r="AC19" i="36"/>
  <c r="V19" i="36"/>
  <c r="W19" i="36" s="1"/>
  <c r="X19" i="36" s="1"/>
  <c r="S19" i="36"/>
  <c r="AF18" i="36"/>
  <c r="AC18" i="36"/>
  <c r="AF17" i="36"/>
  <c r="AC17" i="36"/>
  <c r="AF16" i="36"/>
  <c r="AC16" i="36"/>
  <c r="AF15" i="36"/>
  <c r="AC15" i="36"/>
  <c r="V15" i="36"/>
  <c r="W15" i="36" s="1"/>
  <c r="X15" i="36" s="1"/>
  <c r="S15" i="36"/>
  <c r="S30" i="35"/>
  <c r="AK25" i="35"/>
  <c r="AM25" i="35" s="1"/>
  <c r="AF25" i="35"/>
  <c r="AC25" i="35"/>
  <c r="AO25" i="35" s="1"/>
  <c r="AN25" i="35" s="1"/>
  <c r="V25" i="35"/>
  <c r="W25" i="35" s="1"/>
  <c r="S25" i="35"/>
  <c r="T25" i="35" s="1"/>
  <c r="AK24" i="35"/>
  <c r="AM24" i="35" s="1"/>
  <c r="AF24" i="35"/>
  <c r="AC24" i="35"/>
  <c r="AO24" i="35" s="1"/>
  <c r="AN24" i="35" s="1"/>
  <c r="V24" i="35"/>
  <c r="W24" i="35" s="1"/>
  <c r="S24" i="35"/>
  <c r="T24" i="35" s="1"/>
  <c r="AK23" i="35"/>
  <c r="AM23" i="35" s="1"/>
  <c r="AF23" i="35"/>
  <c r="AC23" i="35"/>
  <c r="AO23" i="35" s="1"/>
  <c r="AN23" i="35" s="1"/>
  <c r="V23" i="35"/>
  <c r="W23" i="35" s="1"/>
  <c r="X23" i="35" s="1"/>
  <c r="S23" i="35"/>
  <c r="AK22" i="35"/>
  <c r="AL22" i="35" s="1"/>
  <c r="AF22" i="35"/>
  <c r="AC22" i="35"/>
  <c r="AO22" i="35" s="1"/>
  <c r="AN22" i="35" s="1"/>
  <c r="V22" i="35"/>
  <c r="W22" i="35" s="1"/>
  <c r="T22" i="35"/>
  <c r="S22" i="35"/>
  <c r="AK21" i="35"/>
  <c r="AL21" i="35" s="1"/>
  <c r="AF21" i="35"/>
  <c r="AC21" i="35"/>
  <c r="AO21" i="35" s="1"/>
  <c r="AN21" i="35" s="1"/>
  <c r="V21" i="35"/>
  <c r="W21" i="35" s="1"/>
  <c r="X21" i="35" s="1"/>
  <c r="S21" i="35"/>
  <c r="T21" i="35" s="1"/>
  <c r="AF20" i="35"/>
  <c r="AC20" i="35"/>
  <c r="V20" i="35"/>
  <c r="W20" i="35" s="1"/>
  <c r="S20" i="35"/>
  <c r="T20" i="35" s="1"/>
  <c r="AF19" i="35"/>
  <c r="AC19" i="35"/>
  <c r="AF18" i="35"/>
  <c r="AC18" i="35"/>
  <c r="V18" i="35"/>
  <c r="W18" i="35" s="1"/>
  <c r="S18" i="35"/>
  <c r="T18" i="35" s="1"/>
  <c r="AF17" i="35"/>
  <c r="AC17" i="35"/>
  <c r="AF16" i="35"/>
  <c r="AC16" i="35"/>
  <c r="AF15" i="35"/>
  <c r="AC15" i="35"/>
  <c r="V15" i="35"/>
  <c r="W15" i="35" s="1"/>
  <c r="R27" i="18" s="1"/>
  <c r="S15" i="35"/>
  <c r="T15" i="35" s="1"/>
  <c r="AK15" i="35" l="1"/>
  <c r="AL24" i="35"/>
  <c r="AP24" i="35" s="1"/>
  <c r="AK20" i="35"/>
  <c r="AM20" i="35" s="1"/>
  <c r="AK18" i="35"/>
  <c r="AL18" i="35" s="1"/>
  <c r="X20" i="35"/>
  <c r="AO20" i="35" s="1"/>
  <c r="Z25" i="18"/>
  <c r="X18" i="35"/>
  <c r="AO19" i="35" s="1"/>
  <c r="AN19" i="35" s="1"/>
  <c r="Z21" i="18"/>
  <c r="Y25" i="35"/>
  <c r="AO21" i="36"/>
  <c r="AN21" i="36" s="1"/>
  <c r="AN20" i="35"/>
  <c r="AM47" i="36"/>
  <c r="AP31" i="36"/>
  <c r="AO16" i="36"/>
  <c r="AN16" i="36" s="1"/>
  <c r="AM31" i="36"/>
  <c r="AK32" i="36" s="1"/>
  <c r="AM32" i="36" s="1"/>
  <c r="AK33" i="36" s="1"/>
  <c r="AM35" i="36"/>
  <c r="AK36" i="36" s="1"/>
  <c r="AM36" i="36" s="1"/>
  <c r="AM21" i="35"/>
  <c r="Y21" i="35"/>
  <c r="AL23" i="35"/>
  <c r="AP23" i="35" s="1"/>
  <c r="Y23" i="35"/>
  <c r="AO27" i="36"/>
  <c r="AN27" i="36" s="1"/>
  <c r="Y28" i="36"/>
  <c r="Y25" i="36"/>
  <c r="X25" i="36"/>
  <c r="AO25" i="36" s="1"/>
  <c r="AN25" i="36" s="1"/>
  <c r="X30" i="36"/>
  <c r="AO30" i="36" s="1"/>
  <c r="AN30" i="36" s="1"/>
  <c r="Y30" i="36"/>
  <c r="T28" i="36"/>
  <c r="AK28" i="36" s="1"/>
  <c r="AK25" i="36"/>
  <c r="AK30" i="36"/>
  <c r="AK24" i="36"/>
  <c r="Y24" i="36"/>
  <c r="X24" i="36"/>
  <c r="AO24" i="36" s="1"/>
  <c r="AN24" i="36" s="1"/>
  <c r="AK23" i="36"/>
  <c r="AM23" i="36" s="1"/>
  <c r="AK20" i="36"/>
  <c r="AL20" i="36" s="1"/>
  <c r="AK21" i="36"/>
  <c r="Y19" i="36"/>
  <c r="AO17" i="36"/>
  <c r="AN17" i="36" s="1"/>
  <c r="AO19" i="36"/>
  <c r="AN19" i="36" s="1"/>
  <c r="X23" i="36"/>
  <c r="AO23" i="36" s="1"/>
  <c r="AN23" i="36" s="1"/>
  <c r="Y23" i="36"/>
  <c r="Y15" i="36"/>
  <c r="X20" i="36"/>
  <c r="AO20" i="36" s="1"/>
  <c r="AN20" i="36" s="1"/>
  <c r="Y20" i="36"/>
  <c r="AO15" i="36"/>
  <c r="AN15" i="36" s="1"/>
  <c r="AO18" i="36"/>
  <c r="AN18" i="36" s="1"/>
  <c r="Y21" i="36"/>
  <c r="T15" i="36"/>
  <c r="AK15" i="36" s="1"/>
  <c r="T19" i="36"/>
  <c r="AK19" i="36" s="1"/>
  <c r="X24" i="35"/>
  <c r="Y24" i="35"/>
  <c r="AM18" i="35"/>
  <c r="AK19" i="35" s="1"/>
  <c r="AP21" i="35"/>
  <c r="X15" i="35"/>
  <c r="Y15" i="35"/>
  <c r="Y18" i="35"/>
  <c r="AP22" i="35"/>
  <c r="Y22" i="35"/>
  <c r="X22" i="35"/>
  <c r="AM22" i="35"/>
  <c r="X25" i="35"/>
  <c r="Y20" i="35"/>
  <c r="T23" i="35"/>
  <c r="AL25" i="35"/>
  <c r="AP25" i="35" s="1"/>
  <c r="AO15" i="35" l="1"/>
  <c r="AN15" i="35" s="1"/>
  <c r="AO18" i="35"/>
  <c r="AN18" i="35" s="1"/>
  <c r="Q35" i="19" s="1"/>
  <c r="AO16" i="35"/>
  <c r="AN16" i="35" s="1"/>
  <c r="AO17" i="35"/>
  <c r="AN17" i="35" s="1"/>
  <c r="AL20" i="35"/>
  <c r="AP20" i="35" s="1"/>
  <c r="AL36" i="36"/>
  <c r="AP36" i="36" s="1"/>
  <c r="AL32" i="36"/>
  <c r="AP32" i="36" s="1"/>
  <c r="AM37" i="36"/>
  <c r="AK38" i="36" s="1"/>
  <c r="AL37" i="36"/>
  <c r="AM33" i="36"/>
  <c r="AK34" i="36" s="1"/>
  <c r="AL33" i="36"/>
  <c r="AP33" i="36" s="1"/>
  <c r="AM30" i="36"/>
  <c r="AL30" i="36"/>
  <c r="AP30" i="36" s="1"/>
  <c r="AM25" i="36"/>
  <c r="AK26" i="36" s="1"/>
  <c r="AL25" i="36"/>
  <c r="AP25" i="36" s="1"/>
  <c r="AM28" i="36"/>
  <c r="AK29" i="36" s="1"/>
  <c r="AL28" i="36"/>
  <c r="AP28" i="36" s="1"/>
  <c r="AL23" i="36"/>
  <c r="AP23" i="36" s="1"/>
  <c r="AM24" i="36"/>
  <c r="AL24" i="36"/>
  <c r="AP24" i="36" s="1"/>
  <c r="AP20" i="36"/>
  <c r="AM20" i="36"/>
  <c r="AM19" i="36"/>
  <c r="AL19" i="36"/>
  <c r="AP19" i="36" s="1"/>
  <c r="AL15" i="36"/>
  <c r="AP15" i="36" s="1"/>
  <c r="AM15" i="36"/>
  <c r="AK16" i="36" s="1"/>
  <c r="AM21" i="36"/>
  <c r="AK22" i="36" s="1"/>
  <c r="AL21" i="36"/>
  <c r="AP21" i="36" s="1"/>
  <c r="AM19" i="35"/>
  <c r="AL19" i="35"/>
  <c r="AP19" i="35" s="1"/>
  <c r="AM15" i="35"/>
  <c r="AK16" i="35" s="1"/>
  <c r="AL15" i="35"/>
  <c r="AP15" i="35" s="1"/>
  <c r="Q32" i="19" l="1"/>
  <c r="W35" i="19"/>
  <c r="AP18" i="35"/>
  <c r="AL38" i="36"/>
  <c r="AP38" i="36" s="1"/>
  <c r="AM38" i="36"/>
  <c r="AL34" i="36"/>
  <c r="AP34" i="36" s="1"/>
  <c r="AM34" i="36"/>
  <c r="AL26" i="36"/>
  <c r="AP26" i="36" s="1"/>
  <c r="AM26" i="36"/>
  <c r="AK27" i="36" s="1"/>
  <c r="AM29" i="36"/>
  <c r="AL29" i="36"/>
  <c r="AP29" i="36" s="1"/>
  <c r="AM22" i="36"/>
  <c r="AL22" i="36"/>
  <c r="AP22" i="36" s="1"/>
  <c r="AM16" i="36"/>
  <c r="AK17" i="36" s="1"/>
  <c r="AL16" i="36"/>
  <c r="AP16" i="36" s="1"/>
  <c r="AL16" i="35"/>
  <c r="AP16" i="35" s="1"/>
  <c r="AM16" i="35"/>
  <c r="AK17" i="35" s="1"/>
  <c r="AL39" i="36" l="1"/>
  <c r="AM39" i="36"/>
  <c r="AK40" i="36" s="1"/>
  <c r="AL27" i="36"/>
  <c r="AP27" i="36" s="1"/>
  <c r="AM27" i="36"/>
  <c r="AL17" i="36"/>
  <c r="AP17" i="36" s="1"/>
  <c r="AM17" i="36"/>
  <c r="AK18" i="36" s="1"/>
  <c r="AM17" i="35"/>
  <c r="AL17" i="35"/>
  <c r="AP17" i="35" s="1"/>
  <c r="AM40" i="36" l="1"/>
  <c r="AL40" i="36"/>
  <c r="AP40" i="36" s="1"/>
  <c r="AM18" i="36"/>
  <c r="AL18" i="36"/>
  <c r="AP18" i="36" s="1"/>
  <c r="AL41" i="36" l="1"/>
  <c r="AM41" i="36"/>
  <c r="AK42" i="36" s="1"/>
  <c r="AL42" i="36" l="1"/>
  <c r="AP42" i="36" s="1"/>
  <c r="AM42" i="36"/>
  <c r="AK43" i="36" s="1"/>
  <c r="AL43" i="36" l="1"/>
  <c r="AP43" i="36" s="1"/>
  <c r="AM43" i="36"/>
  <c r="AK44" i="36" s="1"/>
  <c r="AM44" i="36" l="1"/>
  <c r="AK45" i="36" s="1"/>
  <c r="AL44" i="36"/>
  <c r="AP44" i="36" s="1"/>
  <c r="AL45" i="36" l="1"/>
  <c r="AP45" i="36" s="1"/>
  <c r="AM45" i="36"/>
  <c r="AI22" i="1" l="1"/>
  <c r="AK22" i="1" s="1"/>
  <c r="AD22" i="1"/>
  <c r="AA22" i="1"/>
  <c r="AM22" i="1" s="1"/>
  <c r="AL22" i="1" s="1"/>
  <c r="Q22" i="1"/>
  <c r="AI21" i="1"/>
  <c r="AK21" i="1" s="1"/>
  <c r="AD21" i="1"/>
  <c r="AA21" i="1"/>
  <c r="AM21" i="1" s="1"/>
  <c r="AL21" i="1" s="1"/>
  <c r="Q21" i="1"/>
  <c r="R21" i="1" s="1"/>
  <c r="R22" i="1" l="1"/>
  <c r="AJ22" i="1"/>
  <c r="AJ21" i="1"/>
  <c r="AN21" i="1" s="1"/>
  <c r="AN22" i="1" l="1"/>
  <c r="Q34" i="19"/>
  <c r="R34" i="19"/>
  <c r="Q33" i="19"/>
  <c r="AA17" i="1"/>
  <c r="AA18" i="1"/>
  <c r="AA19" i="1"/>
  <c r="AA20" i="1"/>
  <c r="AA16" i="1" l="1"/>
  <c r="AD18" i="1" l="1"/>
  <c r="AA15" i="1"/>
  <c r="AD19" i="1" l="1"/>
  <c r="AD20" i="1"/>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AN53" i="19"/>
  <c r="AM53" i="19"/>
  <c r="AL53" i="19"/>
  <c r="AK53" i="19"/>
  <c r="AH53" i="19"/>
  <c r="AG53" i="19"/>
  <c r="AF53" i="19"/>
  <c r="AE53" i="19"/>
  <c r="AB53" i="19"/>
  <c r="AA53" i="19"/>
  <c r="Z53" i="19"/>
  <c r="Y53" i="19"/>
  <c r="V53" i="19"/>
  <c r="U53" i="19"/>
  <c r="T53" i="19"/>
  <c r="S53" i="19"/>
  <c r="P53" i="19"/>
  <c r="O53" i="19"/>
  <c r="N53" i="19"/>
  <c r="M53"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AN46" i="19"/>
  <c r="AM46" i="19"/>
  <c r="AL46" i="19"/>
  <c r="AK46" i="19"/>
  <c r="AJ46" i="19"/>
  <c r="AI46" i="19"/>
  <c r="AH46" i="19"/>
  <c r="AG46" i="19"/>
  <c r="AF46" i="19"/>
  <c r="AE46" i="19"/>
  <c r="AD46" i="19"/>
  <c r="AB46" i="19"/>
  <c r="AA46" i="19"/>
  <c r="Z46" i="19"/>
  <c r="Y46" i="19"/>
  <c r="X46" i="19"/>
  <c r="W46" i="19"/>
  <c r="V46" i="19"/>
  <c r="U46" i="19"/>
  <c r="T46" i="19"/>
  <c r="S46" i="19"/>
  <c r="R46" i="19"/>
  <c r="Q46" i="19"/>
  <c r="P46" i="19"/>
  <c r="O46" i="19"/>
  <c r="N46" i="19"/>
  <c r="M46" i="19"/>
  <c r="L46" i="19"/>
  <c r="K46"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AN44" i="19"/>
  <c r="AM44" i="19"/>
  <c r="AL44" i="19"/>
  <c r="AK44" i="19"/>
  <c r="AJ44" i="19"/>
  <c r="AI44" i="19"/>
  <c r="AH44" i="19"/>
  <c r="AG44" i="19"/>
  <c r="AF44" i="19"/>
  <c r="AE44" i="19"/>
  <c r="AD44" i="19"/>
  <c r="AB44" i="19"/>
  <c r="AA44" i="19"/>
  <c r="Z44" i="19"/>
  <c r="Y44" i="19"/>
  <c r="X44" i="19"/>
  <c r="W44" i="19"/>
  <c r="V44" i="19"/>
  <c r="U44" i="19"/>
  <c r="T44" i="19"/>
  <c r="S44" i="19"/>
  <c r="R44" i="19"/>
  <c r="Q44" i="19"/>
  <c r="P44" i="19"/>
  <c r="O44" i="19"/>
  <c r="N44" i="19"/>
  <c r="M44" i="19"/>
  <c r="L44" i="19"/>
  <c r="K44" i="19"/>
  <c r="AN43" i="19"/>
  <c r="AM43" i="19"/>
  <c r="AL43" i="19"/>
  <c r="AK43" i="19"/>
  <c r="AH43" i="19"/>
  <c r="AG43" i="19"/>
  <c r="AF43" i="19"/>
  <c r="AE43" i="19"/>
  <c r="AB43" i="19"/>
  <c r="AA43" i="19"/>
  <c r="Z43" i="19"/>
  <c r="Y43" i="19"/>
  <c r="V43" i="19"/>
  <c r="U43" i="19"/>
  <c r="T43" i="19"/>
  <c r="S43" i="19"/>
  <c r="P43" i="19"/>
  <c r="O43" i="19"/>
  <c r="N43" i="19"/>
  <c r="M43"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AN35" i="19"/>
  <c r="AM35" i="19"/>
  <c r="AL35" i="19"/>
  <c r="AK35" i="19"/>
  <c r="AJ35" i="19"/>
  <c r="AI35" i="19"/>
  <c r="AH35" i="19"/>
  <c r="AG35" i="19"/>
  <c r="AF35" i="19"/>
  <c r="AE35" i="19"/>
  <c r="AD35" i="19"/>
  <c r="AC35" i="19"/>
  <c r="AB35" i="19"/>
  <c r="AA35" i="19"/>
  <c r="Z35" i="19"/>
  <c r="Y35" i="19"/>
  <c r="X35" i="19"/>
  <c r="V35" i="19"/>
  <c r="U35" i="19"/>
  <c r="T35" i="19"/>
  <c r="S35" i="19"/>
  <c r="R35" i="19"/>
  <c r="P35" i="19"/>
  <c r="O35" i="19"/>
  <c r="N35" i="19"/>
  <c r="M35" i="19"/>
  <c r="L35" i="19"/>
  <c r="K35" i="19"/>
  <c r="AN34" i="19"/>
  <c r="AM34" i="19"/>
  <c r="AL34" i="19"/>
  <c r="AK34" i="19"/>
  <c r="AJ34" i="19"/>
  <c r="AH34" i="19"/>
  <c r="AG34" i="19"/>
  <c r="AF34" i="19"/>
  <c r="AE34" i="19"/>
  <c r="AD34" i="19"/>
  <c r="AC34" i="19"/>
  <c r="AB34" i="19"/>
  <c r="AA34" i="19"/>
  <c r="Z34" i="19"/>
  <c r="Y34" i="19"/>
  <c r="X34" i="19"/>
  <c r="W34" i="19"/>
  <c r="V34" i="19"/>
  <c r="U34" i="19"/>
  <c r="T34" i="19"/>
  <c r="S34" i="19"/>
  <c r="P34" i="19"/>
  <c r="O34" i="19"/>
  <c r="N34" i="19"/>
  <c r="M34" i="19"/>
  <c r="L34" i="19"/>
  <c r="K34" i="19"/>
  <c r="AN33" i="19"/>
  <c r="AM33" i="19"/>
  <c r="AL33" i="19"/>
  <c r="AK33" i="19"/>
  <c r="AH33" i="19"/>
  <c r="AG33" i="19"/>
  <c r="AF33" i="19"/>
  <c r="AE33" i="19"/>
  <c r="AB33" i="19"/>
  <c r="AA33" i="19"/>
  <c r="Z33" i="19"/>
  <c r="Y33" i="19"/>
  <c r="V33" i="19"/>
  <c r="U33" i="19"/>
  <c r="T33" i="19"/>
  <c r="S33" i="19"/>
  <c r="P33" i="19"/>
  <c r="O33" i="19"/>
  <c r="N33" i="19"/>
  <c r="M33"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AN23" i="19"/>
  <c r="AM23" i="19"/>
  <c r="AL23" i="19"/>
  <c r="AK23" i="19"/>
  <c r="AH23" i="19"/>
  <c r="AG23" i="19"/>
  <c r="AF23" i="19"/>
  <c r="AE23" i="19"/>
  <c r="AB23" i="19"/>
  <c r="AA23" i="19"/>
  <c r="Z23" i="19"/>
  <c r="Y23" i="19"/>
  <c r="V23" i="19"/>
  <c r="U23" i="19"/>
  <c r="T23" i="19"/>
  <c r="S23" i="19"/>
  <c r="P23" i="19"/>
  <c r="O23" i="19"/>
  <c r="N23" i="19"/>
  <c r="M23" i="19"/>
  <c r="AN41" i="19"/>
  <c r="AN31" i="19"/>
  <c r="AN21" i="19"/>
  <c r="AM21" i="19"/>
  <c r="AL21" i="19"/>
  <c r="AK21" i="19"/>
  <c r="AJ21" i="19"/>
  <c r="AI21" i="19"/>
  <c r="AN20" i="19"/>
  <c r="AM20" i="19"/>
  <c r="AL20" i="19"/>
  <c r="AK20" i="19"/>
  <c r="AJ20" i="19"/>
  <c r="AI20" i="19"/>
  <c r="AN19" i="19"/>
  <c r="AM19" i="19"/>
  <c r="AL19" i="19"/>
  <c r="AK19" i="19"/>
  <c r="AJ19" i="19"/>
  <c r="AI19" i="19"/>
  <c r="AN18" i="19"/>
  <c r="AM18" i="19"/>
  <c r="AL18" i="19"/>
  <c r="AK18" i="19"/>
  <c r="AJ18" i="19"/>
  <c r="AI18" i="19"/>
  <c r="AN17" i="19"/>
  <c r="AM17" i="19"/>
  <c r="AL17" i="19"/>
  <c r="AK17" i="19"/>
  <c r="AJ17" i="19"/>
  <c r="AI17" i="19"/>
  <c r="AN16" i="19"/>
  <c r="AM16" i="19"/>
  <c r="AL16" i="19"/>
  <c r="AK16" i="19"/>
  <c r="AJ16" i="19"/>
  <c r="AI16" i="19"/>
  <c r="AN15" i="19"/>
  <c r="AM15" i="19"/>
  <c r="AL15" i="19"/>
  <c r="AK15" i="19"/>
  <c r="AJ15" i="19"/>
  <c r="AI15" i="19"/>
  <c r="AN14" i="19"/>
  <c r="AM14" i="19"/>
  <c r="AL14" i="19"/>
  <c r="AK14" i="19"/>
  <c r="AJ14" i="19"/>
  <c r="AI14" i="19"/>
  <c r="Q14" i="19"/>
  <c r="AN13" i="19"/>
  <c r="AM13" i="19"/>
  <c r="AL13" i="19"/>
  <c r="AK13" i="19"/>
  <c r="AC14" i="19"/>
  <c r="AD14" i="19"/>
  <c r="AE14" i="19"/>
  <c r="AF14" i="19"/>
  <c r="AH14" i="19"/>
  <c r="AG14" i="19"/>
  <c r="AH21" i="19"/>
  <c r="AF13" i="19"/>
  <c r="AE13" i="19"/>
  <c r="AG15" i="19"/>
  <c r="AG13" i="19"/>
  <c r="AH13" i="19"/>
  <c r="AG21" i="19"/>
  <c r="AF21" i="19"/>
  <c r="AE21" i="19"/>
  <c r="AD21" i="19"/>
  <c r="AC21" i="19"/>
  <c r="AH20" i="19"/>
  <c r="AG20" i="19"/>
  <c r="AF20" i="19"/>
  <c r="AE20" i="19"/>
  <c r="AD20" i="19"/>
  <c r="AC20" i="19"/>
  <c r="AH19" i="19"/>
  <c r="AG19" i="19"/>
  <c r="AF19" i="19"/>
  <c r="AE19" i="19"/>
  <c r="AD19" i="19"/>
  <c r="AC19" i="19"/>
  <c r="AH18" i="19"/>
  <c r="AG18" i="19"/>
  <c r="AF18" i="19"/>
  <c r="AE18" i="19"/>
  <c r="AD18" i="19"/>
  <c r="AC18" i="19"/>
  <c r="AH17" i="19"/>
  <c r="AG17" i="19"/>
  <c r="AF17" i="19"/>
  <c r="AE17" i="19"/>
  <c r="AD17" i="19"/>
  <c r="AC17" i="19"/>
  <c r="AH16" i="19"/>
  <c r="AG16" i="19"/>
  <c r="AF16" i="19"/>
  <c r="AE16" i="19"/>
  <c r="AD16" i="19"/>
  <c r="AC16" i="19"/>
  <c r="AH15" i="19"/>
  <c r="AF15" i="19"/>
  <c r="AE15" i="19"/>
  <c r="AD15" i="19"/>
  <c r="AC15" i="19"/>
  <c r="W21" i="19"/>
  <c r="X21" i="19"/>
  <c r="Y21" i="19"/>
  <c r="Z21" i="19"/>
  <c r="AA21" i="19"/>
  <c r="AB21" i="19"/>
  <c r="AB20" i="19"/>
  <c r="AA20" i="19"/>
  <c r="Z20" i="19"/>
  <c r="Y20" i="19"/>
  <c r="X20" i="19"/>
  <c r="W20" i="19"/>
  <c r="W19" i="19"/>
  <c r="X19" i="19"/>
  <c r="Y19" i="19"/>
  <c r="Z19" i="19"/>
  <c r="AA19" i="19"/>
  <c r="AB19" i="19"/>
  <c r="AB18" i="19"/>
  <c r="AA18" i="19"/>
  <c r="Z18" i="19"/>
  <c r="Y18" i="19"/>
  <c r="X18" i="19"/>
  <c r="W18" i="19"/>
  <c r="W17" i="19"/>
  <c r="X17" i="19"/>
  <c r="Y17" i="19"/>
  <c r="Z17" i="19"/>
  <c r="AA17" i="19"/>
  <c r="AB17" i="19"/>
  <c r="AB16" i="19"/>
  <c r="AA16" i="19"/>
  <c r="Z16" i="19"/>
  <c r="Y16" i="19"/>
  <c r="X16" i="19"/>
  <c r="W16" i="19"/>
  <c r="W15" i="19"/>
  <c r="X15" i="19"/>
  <c r="Y15" i="19"/>
  <c r="Z15" i="19"/>
  <c r="AA15" i="19"/>
  <c r="AB15" i="19"/>
  <c r="AB14" i="19"/>
  <c r="AA14" i="19"/>
  <c r="Z14" i="19"/>
  <c r="Y14" i="19"/>
  <c r="X14" i="19"/>
  <c r="W14" i="19"/>
  <c r="Y13" i="19"/>
  <c r="Z13" i="19"/>
  <c r="AA13" i="19"/>
  <c r="AB13" i="19"/>
  <c r="AD16" i="1"/>
  <c r="AD17" i="1"/>
  <c r="V21" i="19"/>
  <c r="U21" i="19"/>
  <c r="T21" i="19"/>
  <c r="S21" i="19"/>
  <c r="R21" i="19"/>
  <c r="Q21" i="19"/>
  <c r="Q20" i="19"/>
  <c r="R20" i="19"/>
  <c r="S20" i="19"/>
  <c r="T20" i="19"/>
  <c r="U20" i="19"/>
  <c r="V20" i="19"/>
  <c r="U19" i="19"/>
  <c r="V19" i="19"/>
  <c r="T19" i="19"/>
  <c r="S19" i="19"/>
  <c r="R19" i="19"/>
  <c r="Q19" i="19"/>
  <c r="Q18" i="19"/>
  <c r="R18" i="19"/>
  <c r="S18" i="19"/>
  <c r="T18" i="19"/>
  <c r="U18" i="19"/>
  <c r="V18" i="19"/>
  <c r="V17" i="19"/>
  <c r="U17" i="19"/>
  <c r="T17" i="19"/>
  <c r="S17" i="19"/>
  <c r="R17" i="19"/>
  <c r="Q17" i="19"/>
  <c r="Q16" i="19"/>
  <c r="R16" i="19"/>
  <c r="S16" i="19"/>
  <c r="T16" i="19"/>
  <c r="U16" i="19"/>
  <c r="V16" i="19"/>
  <c r="V15" i="19"/>
  <c r="U15" i="19"/>
  <c r="T15" i="19"/>
  <c r="S15" i="19"/>
  <c r="R15" i="19"/>
  <c r="Q15" i="19"/>
  <c r="V13" i="19"/>
  <c r="V14" i="19"/>
  <c r="U14" i="19"/>
  <c r="T14" i="19"/>
  <c r="S14" i="19"/>
  <c r="R14" i="19"/>
  <c r="S13" i="19"/>
  <c r="T13" i="19"/>
  <c r="U13" i="19"/>
  <c r="P21" i="19"/>
  <c r="O21" i="19"/>
  <c r="N21" i="19"/>
  <c r="M21" i="19"/>
  <c r="L21" i="19"/>
  <c r="K21" i="19"/>
  <c r="P20" i="19"/>
  <c r="O20" i="19"/>
  <c r="N20" i="19"/>
  <c r="M20" i="19"/>
  <c r="L20" i="19"/>
  <c r="K20" i="19"/>
  <c r="P19" i="19"/>
  <c r="O19" i="19"/>
  <c r="N19" i="19"/>
  <c r="M19" i="19"/>
  <c r="L19" i="19"/>
  <c r="K19" i="19"/>
  <c r="P18" i="19"/>
  <c r="O18" i="19"/>
  <c r="N18" i="19"/>
  <c r="M18" i="19"/>
  <c r="L18" i="19"/>
  <c r="K18" i="19"/>
  <c r="P17" i="19"/>
  <c r="O17" i="19"/>
  <c r="N17" i="19"/>
  <c r="M17" i="19"/>
  <c r="L17" i="19"/>
  <c r="K17" i="19"/>
  <c r="P16" i="19"/>
  <c r="O16" i="19"/>
  <c r="N16" i="19"/>
  <c r="M16" i="19"/>
  <c r="L16" i="19"/>
  <c r="K16" i="19"/>
  <c r="P15" i="19"/>
  <c r="O15" i="19"/>
  <c r="N15" i="19"/>
  <c r="M15" i="19"/>
  <c r="L15" i="19"/>
  <c r="K15" i="19"/>
  <c r="P14" i="19"/>
  <c r="O14" i="19"/>
  <c r="N14" i="19"/>
  <c r="M14" i="19"/>
  <c r="L14" i="19"/>
  <c r="K14" i="19"/>
  <c r="P13" i="19"/>
  <c r="O13" i="19"/>
  <c r="N13" i="19"/>
  <c r="M13" i="19"/>
  <c r="Q17" i="1"/>
  <c r="Q19" i="1"/>
  <c r="L49" i="18"/>
  <c r="N49" i="18"/>
  <c r="P49" i="18"/>
  <c r="R49" i="18"/>
  <c r="T49" i="18"/>
  <c r="V49" i="18"/>
  <c r="X49" i="18"/>
  <c r="Z49" i="18"/>
  <c r="AB49" i="18"/>
  <c r="AD49" i="18"/>
  <c r="AF49" i="18"/>
  <c r="AH49" i="18"/>
  <c r="AJ49" i="18"/>
  <c r="AL49" i="18"/>
  <c r="AN49" i="18"/>
  <c r="AN47" i="18"/>
  <c r="AH47" i="18"/>
  <c r="AB47" i="18"/>
  <c r="V47" i="18"/>
  <c r="P47" i="18"/>
  <c r="N47" i="18"/>
  <c r="N45" i="18"/>
  <c r="P45" i="18"/>
  <c r="N43" i="18"/>
  <c r="R41" i="18"/>
  <c r="T41" i="18"/>
  <c r="V41" i="18"/>
  <c r="X41" i="18"/>
  <c r="Z41" i="18"/>
  <c r="AB41" i="18"/>
  <c r="AD41" i="18"/>
  <c r="AF41" i="18"/>
  <c r="AH41" i="18"/>
  <c r="AJ41" i="18"/>
  <c r="AL41" i="18"/>
  <c r="AN41" i="18"/>
  <c r="AN39" i="18"/>
  <c r="AH39" i="18"/>
  <c r="AB39" i="18"/>
  <c r="V39" i="18"/>
  <c r="AN33" i="18"/>
  <c r="AL33" i="18"/>
  <c r="AJ33" i="18"/>
  <c r="AH33" i="18"/>
  <c r="AD33" i="18"/>
  <c r="AB33" i="18"/>
  <c r="Z33" i="18"/>
  <c r="X33" i="18"/>
  <c r="V33" i="18"/>
  <c r="T33" i="18"/>
  <c r="R33" i="18"/>
  <c r="P33" i="18"/>
  <c r="N33" i="18"/>
  <c r="L33" i="18"/>
  <c r="N31" i="18"/>
  <c r="P31" i="18"/>
  <c r="V31" i="18"/>
  <c r="AB31" i="18"/>
  <c r="AH31" i="18"/>
  <c r="AN31" i="18"/>
  <c r="P29" i="18"/>
  <c r="N29" i="18"/>
  <c r="P27" i="18"/>
  <c r="N27" i="18"/>
  <c r="AL25" i="18"/>
  <c r="AJ25" i="18"/>
  <c r="AN23" i="18"/>
  <c r="AH25" i="18"/>
  <c r="AF25" i="18"/>
  <c r="AD25" i="18"/>
  <c r="AH23" i="18"/>
  <c r="AB25" i="18"/>
  <c r="X25" i="18"/>
  <c r="AB23" i="18"/>
  <c r="V25" i="18"/>
  <c r="T25" i="18"/>
  <c r="R25" i="18"/>
  <c r="V23" i="18"/>
  <c r="P25" i="18"/>
  <c r="N25" i="18"/>
  <c r="L25" i="18"/>
  <c r="P23" i="18"/>
  <c r="P21" i="18"/>
  <c r="N21" i="18"/>
  <c r="P19" i="18"/>
  <c r="AN17" i="18"/>
  <c r="AL17" i="18"/>
  <c r="AJ17" i="18"/>
  <c r="AN15" i="18"/>
  <c r="AH17" i="18"/>
  <c r="AF17" i="18"/>
  <c r="AD17" i="18"/>
  <c r="AH15" i="18"/>
  <c r="AB17" i="18"/>
  <c r="Z17" i="18"/>
  <c r="X17" i="18"/>
  <c r="AB15" i="18"/>
  <c r="V17" i="18"/>
  <c r="V15" i="18"/>
  <c r="T17" i="18"/>
  <c r="R17" i="18"/>
  <c r="L17" i="18"/>
  <c r="P17" i="18"/>
  <c r="N17" i="18"/>
  <c r="P15" i="18"/>
  <c r="N15" i="18"/>
  <c r="P13" i="18"/>
  <c r="N13" i="18"/>
  <c r="P11" i="18"/>
  <c r="N11" i="18"/>
  <c r="R19" i="1" l="1"/>
  <c r="R17" i="1"/>
  <c r="AI17" i="1" s="1"/>
  <c r="AI19" i="1"/>
  <c r="AJ19" i="1" s="1"/>
  <c r="AN13" i="18"/>
  <c r="AN29" i="18"/>
  <c r="AN37" i="18"/>
  <c r="AN21" i="18"/>
  <c r="AN45" i="18"/>
  <c r="AK19" i="1" l="1"/>
  <c r="AI20" i="1" s="1"/>
  <c r="AK20" i="1" s="1"/>
  <c r="AJ17" i="1"/>
  <c r="AK17" i="1"/>
  <c r="AI18" i="1" s="1"/>
  <c r="AK18" i="1" s="1"/>
  <c r="H10" i="27" l="1"/>
  <c r="G29" i="27" s="1"/>
  <c r="H9" i="27"/>
  <c r="H8" i="27"/>
  <c r="F29" i="27"/>
  <c r="E29" i="27"/>
  <c r="Q27" i="1" l="1"/>
  <c r="AD15" i="1" l="1"/>
  <c r="F221" i="13" l="1"/>
  <c r="F211" i="13"/>
  <c r="F212" i="13"/>
  <c r="F213" i="13"/>
  <c r="F214" i="13"/>
  <c r="F215" i="13"/>
  <c r="F216" i="13"/>
  <c r="F217" i="13"/>
  <c r="F218" i="13"/>
  <c r="F219" i="13"/>
  <c r="F220" i="13"/>
  <c r="F210" i="13"/>
  <c r="B221" i="13" a="1"/>
  <c r="B221" i="13" l="1"/>
  <c r="Q15" i="1" l="1"/>
  <c r="R15" i="1" l="1"/>
  <c r="AI15" i="1" s="1"/>
  <c r="AJ15" i="1" l="1"/>
  <c r="AK15" i="1" l="1"/>
  <c r="AI16" i="1" s="1"/>
  <c r="AK16" i="1" s="1"/>
  <c r="B223" i="13"/>
  <c r="B222" i="13"/>
  <c r="T37" i="42" l="1"/>
  <c r="U37" i="42" s="1"/>
  <c r="T20" i="42"/>
  <c r="U20" i="42" s="1"/>
  <c r="T17" i="42"/>
  <c r="U17" i="42" s="1"/>
  <c r="T21" i="42"/>
  <c r="U21" i="42" s="1"/>
  <c r="T18" i="42"/>
  <c r="U18" i="42" s="1"/>
  <c r="T38" i="42"/>
  <c r="U38" i="42" s="1"/>
  <c r="T15" i="42"/>
  <c r="U15" i="42" s="1"/>
  <c r="T36" i="42"/>
  <c r="U36" i="42" s="1"/>
  <c r="T19" i="42"/>
  <c r="U19" i="42" s="1"/>
  <c r="T35" i="42"/>
  <c r="U35" i="42" s="1"/>
  <c r="T34" i="42"/>
  <c r="U34" i="42" s="1"/>
  <c r="T16" i="42"/>
  <c r="U16" i="42" s="1"/>
  <c r="AD27" i="18"/>
  <c r="H210" i="13"/>
  <c r="V39" i="36"/>
  <c r="W39" i="36" s="1"/>
  <c r="V37" i="36"/>
  <c r="W37" i="36" s="1"/>
  <c r="V41" i="36"/>
  <c r="W41" i="36" s="1"/>
  <c r="V35" i="36"/>
  <c r="W35" i="36" s="1"/>
  <c r="T21" i="1"/>
  <c r="U21" i="1" s="1"/>
  <c r="T22" i="1"/>
  <c r="U22" i="1" s="1"/>
  <c r="AF35" i="18"/>
  <c r="T19" i="1"/>
  <c r="U19" i="1" s="1"/>
  <c r="X37" i="18" s="1"/>
  <c r="AB29" i="18"/>
  <c r="T17" i="1"/>
  <c r="U17" i="1" s="1"/>
  <c r="AB27" i="18" s="1"/>
  <c r="T15" i="1"/>
  <c r="W19" i="42" l="1"/>
  <c r="V19" i="42"/>
  <c r="AM19" i="42" s="1"/>
  <c r="AL19" i="42" s="1"/>
  <c r="AN19" i="42" s="1"/>
  <c r="V36" i="42"/>
  <c r="AM36" i="42" s="1"/>
  <c r="AL36" i="42" s="1"/>
  <c r="AN36" i="42" s="1"/>
  <c r="W36" i="42"/>
  <c r="V15" i="42"/>
  <c r="W15" i="42"/>
  <c r="AH27" i="18"/>
  <c r="V38" i="42"/>
  <c r="AM38" i="42" s="1"/>
  <c r="AL38" i="42" s="1"/>
  <c r="AN38" i="42" s="1"/>
  <c r="W38" i="42"/>
  <c r="W35" i="42"/>
  <c r="V35" i="42"/>
  <c r="AM35" i="42" s="1"/>
  <c r="AL35" i="42" s="1"/>
  <c r="AN35" i="42" s="1"/>
  <c r="V18" i="42"/>
  <c r="AM18" i="42" s="1"/>
  <c r="AL18" i="42" s="1"/>
  <c r="AN18" i="42" s="1"/>
  <c r="W18" i="42"/>
  <c r="W21" i="42"/>
  <c r="V21" i="42"/>
  <c r="AM21" i="42" s="1"/>
  <c r="AL21" i="42" s="1"/>
  <c r="AN21" i="42" s="1"/>
  <c r="V17" i="42"/>
  <c r="AM17" i="42" s="1"/>
  <c r="AL17" i="42" s="1"/>
  <c r="AN17" i="42" s="1"/>
  <c r="W17" i="42"/>
  <c r="V20" i="42"/>
  <c r="AM20" i="42" s="1"/>
  <c r="AL20" i="42" s="1"/>
  <c r="AN20" i="42" s="1"/>
  <c r="W20" i="42"/>
  <c r="V16" i="42"/>
  <c r="W16" i="42"/>
  <c r="W34" i="42"/>
  <c r="V34" i="42"/>
  <c r="AM34" i="42" s="1"/>
  <c r="AL34" i="42" s="1"/>
  <c r="AF33" i="18"/>
  <c r="V37" i="42"/>
  <c r="AM37" i="42" s="1"/>
  <c r="AL37" i="42" s="1"/>
  <c r="AN37" i="42" s="1"/>
  <c r="W37" i="42"/>
  <c r="Y41" i="36"/>
  <c r="X41" i="36"/>
  <c r="AO41" i="36" s="1"/>
  <c r="AN41" i="36" s="1"/>
  <c r="AP41" i="36" s="1"/>
  <c r="X35" i="36"/>
  <c r="AO35" i="36" s="1"/>
  <c r="AN35" i="36" s="1"/>
  <c r="AP35" i="36" s="1"/>
  <c r="Y35" i="36"/>
  <c r="X37" i="36"/>
  <c r="AO37" i="36" s="1"/>
  <c r="AN37" i="36" s="1"/>
  <c r="AP37" i="36" s="1"/>
  <c r="Y37" i="36"/>
  <c r="X39" i="36"/>
  <c r="AO39" i="36" s="1"/>
  <c r="AN39" i="36" s="1"/>
  <c r="AP39" i="36" s="1"/>
  <c r="Y39" i="36"/>
  <c r="U15" i="1"/>
  <c r="V22" i="1"/>
  <c r="W22" i="1"/>
  <c r="W21" i="1"/>
  <c r="V21" i="1"/>
  <c r="AF11" i="18"/>
  <c r="Z11" i="18"/>
  <c r="Z35" i="18"/>
  <c r="AL35" i="18"/>
  <c r="AL27" i="18"/>
  <c r="AF19" i="18"/>
  <c r="T19" i="18"/>
  <c r="T43" i="18"/>
  <c r="AL11" i="18"/>
  <c r="AF27" i="18"/>
  <c r="T11" i="18"/>
  <c r="Z43" i="18"/>
  <c r="T27" i="18"/>
  <c r="AL43" i="18"/>
  <c r="T35" i="18"/>
  <c r="AF43" i="18"/>
  <c r="AL13" i="18"/>
  <c r="AF13" i="18"/>
  <c r="Z13" i="18"/>
  <c r="T13" i="18"/>
  <c r="T37" i="18"/>
  <c r="T29" i="18"/>
  <c r="AF37" i="18"/>
  <c r="T21" i="18"/>
  <c r="AL29" i="18"/>
  <c r="AL37" i="18"/>
  <c r="Z45" i="18"/>
  <c r="T45" i="18"/>
  <c r="AF21" i="18"/>
  <c r="AL21" i="18"/>
  <c r="Z29" i="18"/>
  <c r="AF45" i="18"/>
  <c r="AL45" i="18"/>
  <c r="AF29" i="18"/>
  <c r="Z37" i="18"/>
  <c r="V43" i="18"/>
  <c r="AH35" i="18"/>
  <c r="AH19" i="18"/>
  <c r="AB35" i="18"/>
  <c r="AN11" i="18"/>
  <c r="AH11" i="18"/>
  <c r="AB11" i="18"/>
  <c r="V19" i="18"/>
  <c r="V35" i="18"/>
  <c r="AN27" i="18"/>
  <c r="AB19" i="18"/>
  <c r="AN43" i="18"/>
  <c r="V27" i="18"/>
  <c r="V11" i="18"/>
  <c r="V17" i="1"/>
  <c r="AH43" i="18"/>
  <c r="W17" i="1"/>
  <c r="AB43" i="18"/>
  <c r="AN35" i="18"/>
  <c r="AN19" i="18"/>
  <c r="V37" i="18"/>
  <c r="AH13" i="18"/>
  <c r="AB42" i="19"/>
  <c r="AB37" i="18"/>
  <c r="AH29" i="18"/>
  <c r="AH37" i="18"/>
  <c r="V13" i="18"/>
  <c r="AB13" i="18"/>
  <c r="AH21" i="18"/>
  <c r="AB21" i="18"/>
  <c r="V21" i="18"/>
  <c r="V45" i="18"/>
  <c r="V29" i="18"/>
  <c r="AB45" i="18"/>
  <c r="AH45" i="18"/>
  <c r="R47" i="18"/>
  <c r="R39" i="18"/>
  <c r="X31" i="18"/>
  <c r="R15" i="18"/>
  <c r="L15" i="18"/>
  <c r="X39" i="18"/>
  <c r="AJ47" i="18"/>
  <c r="AJ39" i="18"/>
  <c r="AD31" i="18"/>
  <c r="L47" i="18"/>
  <c r="L31" i="18"/>
  <c r="AJ23" i="18"/>
  <c r="X23" i="18"/>
  <c r="R23" i="18"/>
  <c r="R31" i="18"/>
  <c r="AD47" i="18"/>
  <c r="AD39" i="18"/>
  <c r="AJ31" i="18"/>
  <c r="L23" i="18"/>
  <c r="AJ15" i="18"/>
  <c r="AD15" i="18"/>
  <c r="X15" i="18"/>
  <c r="X47" i="18"/>
  <c r="AJ29" i="18"/>
  <c r="V19" i="1"/>
  <c r="R21" i="18"/>
  <c r="X13" i="18"/>
  <c r="R45" i="18"/>
  <c r="X45" i="18"/>
  <c r="AD21" i="18"/>
  <c r="L13" i="18"/>
  <c r="AJ13" i="18"/>
  <c r="AJ45" i="18"/>
  <c r="X21" i="18"/>
  <c r="AD29" i="18"/>
  <c r="R29" i="18"/>
  <c r="AD13" i="18"/>
  <c r="L21" i="18"/>
  <c r="L29" i="18"/>
  <c r="R37" i="18"/>
  <c r="R13" i="18"/>
  <c r="W19" i="1"/>
  <c r="AD37" i="18"/>
  <c r="AJ37" i="18"/>
  <c r="X29" i="18"/>
  <c r="AD45" i="18"/>
  <c r="AJ21" i="18"/>
  <c r="AF47" i="18"/>
  <c r="Z31" i="18"/>
  <c r="AF15" i="18"/>
  <c r="T39" i="18"/>
  <c r="T23" i="18"/>
  <c r="Z39" i="18"/>
  <c r="AL47" i="18"/>
  <c r="T31" i="18"/>
  <c r="AL15" i="18"/>
  <c r="T47" i="18"/>
  <c r="AL31" i="18"/>
  <c r="T15" i="18"/>
  <c r="Z47" i="18"/>
  <c r="AF31" i="18"/>
  <c r="Z15" i="18"/>
  <c r="AF39" i="18"/>
  <c r="AF23" i="18"/>
  <c r="AL39" i="18"/>
  <c r="AL23" i="18"/>
  <c r="X19" i="18" l="1"/>
  <c r="L27" i="18"/>
  <c r="Z27" i="18"/>
  <c r="AM15" i="42"/>
  <c r="AL15" i="42" s="1"/>
  <c r="AM16" i="42"/>
  <c r="AL16" i="42" s="1"/>
  <c r="AN16" i="42" s="1"/>
  <c r="AC42" i="19"/>
  <c r="AN34" i="42"/>
  <c r="AC46" i="19"/>
  <c r="L11" i="18"/>
  <c r="AD19" i="18"/>
  <c r="R19" i="18"/>
  <c r="AJ11" i="18"/>
  <c r="X43" i="18"/>
  <c r="AJ27" i="18"/>
  <c r="AJ35" i="18"/>
  <c r="R43" i="18"/>
  <c r="X11" i="18"/>
  <c r="R35" i="18"/>
  <c r="AJ43" i="18"/>
  <c r="V15" i="1"/>
  <c r="AM16" i="1" s="1"/>
  <c r="L19" i="18"/>
  <c r="AD43" i="18"/>
  <c r="W15" i="1"/>
  <c r="AD11" i="18"/>
  <c r="AD35" i="18"/>
  <c r="R11" i="18"/>
  <c r="X35" i="18"/>
  <c r="AM17" i="1"/>
  <c r="AL17" i="1" s="1"/>
  <c r="AM18" i="1"/>
  <c r="AM19" i="1"/>
  <c r="AL19" i="1" s="1"/>
  <c r="Z42" i="19" s="1"/>
  <c r="AM20" i="1"/>
  <c r="AJ42" i="19"/>
  <c r="AD53" i="19"/>
  <c r="X23" i="19"/>
  <c r="AJ13" i="19"/>
  <c r="X13" i="19"/>
  <c r="R43" i="19"/>
  <c r="R33" i="19"/>
  <c r="R53" i="19"/>
  <c r="R23" i="19"/>
  <c r="AD13" i="19"/>
  <c r="X53" i="19"/>
  <c r="AJ43" i="19"/>
  <c r="L43" i="19"/>
  <c r="L33" i="19"/>
  <c r="L53" i="19"/>
  <c r="AJ33" i="19"/>
  <c r="AJ23" i="19"/>
  <c r="L23" i="19"/>
  <c r="X33" i="19"/>
  <c r="AD43" i="19"/>
  <c r="AD33" i="19"/>
  <c r="AJ53" i="19"/>
  <c r="AD23" i="19"/>
  <c r="X43" i="19"/>
  <c r="R13" i="19"/>
  <c r="L13" i="19"/>
  <c r="AC53" i="19"/>
  <c r="W43" i="19"/>
  <c r="W33" i="19"/>
  <c r="W23" i="19"/>
  <c r="W53" i="19"/>
  <c r="AI13" i="19"/>
  <c r="Q43" i="19"/>
  <c r="K13" i="19"/>
  <c r="Q53" i="19"/>
  <c r="Q23" i="19"/>
  <c r="AC13" i="19"/>
  <c r="AI43" i="19"/>
  <c r="K43" i="19"/>
  <c r="K33" i="19"/>
  <c r="K23" i="19"/>
  <c r="AI33" i="19"/>
  <c r="AI23" i="19"/>
  <c r="AC23" i="19"/>
  <c r="W13" i="19"/>
  <c r="AC43" i="19"/>
  <c r="Q13" i="19"/>
  <c r="AI53" i="19"/>
  <c r="P52" i="19"/>
  <c r="AH42" i="19"/>
  <c r="AH32" i="19"/>
  <c r="AB12" i="19"/>
  <c r="P12" i="19"/>
  <c r="AH52" i="19"/>
  <c r="P42" i="19"/>
  <c r="P32" i="19"/>
  <c r="AH22" i="19"/>
  <c r="P22" i="19"/>
  <c r="AN12" i="19"/>
  <c r="V22" i="19"/>
  <c r="AB52" i="19"/>
  <c r="AB32" i="19"/>
  <c r="AB22" i="19"/>
  <c r="AH12" i="19"/>
  <c r="V12" i="19"/>
  <c r="AN42" i="19"/>
  <c r="AN32" i="19"/>
  <c r="AN52" i="19"/>
  <c r="V52" i="19"/>
  <c r="V42" i="19"/>
  <c r="V32" i="19"/>
  <c r="AN22" i="19"/>
  <c r="U52" i="19"/>
  <c r="U22" i="19"/>
  <c r="O12" i="19"/>
  <c r="O52" i="19"/>
  <c r="AG42" i="19"/>
  <c r="AG32" i="19"/>
  <c r="AG52" i="19"/>
  <c r="O42" i="19"/>
  <c r="O32" i="19"/>
  <c r="AG22" i="19"/>
  <c r="U12" i="19"/>
  <c r="AM12" i="19"/>
  <c r="AA22" i="19"/>
  <c r="U32" i="19"/>
  <c r="O22" i="19"/>
  <c r="AA52" i="19"/>
  <c r="AA42" i="19"/>
  <c r="AA32" i="19"/>
  <c r="AG12" i="19"/>
  <c r="U42" i="19"/>
  <c r="AM42" i="19"/>
  <c r="AM32" i="19"/>
  <c r="AA12" i="19"/>
  <c r="AM52" i="19"/>
  <c r="AM22" i="19"/>
  <c r="AN15" i="42" l="1"/>
  <c r="AC44" i="19"/>
  <c r="AC32" i="19"/>
  <c r="AM15" i="1"/>
  <c r="AL15" i="1" s="1"/>
  <c r="W52" i="19" s="1"/>
  <c r="Y42" i="19"/>
  <c r="AL52" i="19"/>
  <c r="S12" i="19"/>
  <c r="S32" i="19"/>
  <c r="M32" i="19"/>
  <c r="AF52" i="19"/>
  <c r="M52" i="19"/>
  <c r="AN17" i="1"/>
  <c r="M12" i="19"/>
  <c r="AE22" i="19"/>
  <c r="AK12" i="19"/>
  <c r="AE12" i="19"/>
  <c r="AE32" i="19"/>
  <c r="AE52" i="19"/>
  <c r="AK32" i="19"/>
  <c r="AK52" i="19"/>
  <c r="S22" i="19"/>
  <c r="S42" i="19"/>
  <c r="M22" i="19"/>
  <c r="M42" i="19"/>
  <c r="AK22" i="19"/>
  <c r="AK42" i="19"/>
  <c r="AE42" i="19"/>
  <c r="S52" i="19"/>
  <c r="T12" i="19"/>
  <c r="T52" i="19"/>
  <c r="Z32" i="19"/>
  <c r="AL32" i="19"/>
  <c r="AL12" i="19"/>
  <c r="Z22" i="19"/>
  <c r="AN19" i="1"/>
  <c r="Z52" i="19"/>
  <c r="N42" i="19"/>
  <c r="AF12" i="19"/>
  <c r="AF22" i="19"/>
  <c r="AF32" i="19"/>
  <c r="AF42" i="19"/>
  <c r="Z12" i="19"/>
  <c r="T32" i="19"/>
  <c r="N22" i="19"/>
  <c r="T22" i="19"/>
  <c r="T42" i="19"/>
  <c r="N32" i="19"/>
  <c r="N52" i="19"/>
  <c r="AL42" i="19"/>
  <c r="N12" i="19"/>
  <c r="AL22" i="19"/>
  <c r="X22" i="19"/>
  <c r="AI22" i="19"/>
  <c r="K42" i="19"/>
  <c r="Q12" i="19"/>
  <c r="AC12" i="19"/>
  <c r="AD52" i="19"/>
  <c r="R32" i="19"/>
  <c r="X12" i="19"/>
  <c r="AD32" i="19"/>
  <c r="R42" i="19"/>
  <c r="R12" i="19"/>
  <c r="AD12" i="19"/>
  <c r="X42" i="19"/>
  <c r="R52" i="19"/>
  <c r="R22" i="19"/>
  <c r="L22" i="19"/>
  <c r="AJ12" i="19"/>
  <c r="X32" i="19"/>
  <c r="AD42" i="19"/>
  <c r="AJ52" i="19"/>
  <c r="AJ22" i="19"/>
  <c r="L42" i="19"/>
  <c r="AD22" i="19"/>
  <c r="AJ32" i="19"/>
  <c r="X52" i="19"/>
  <c r="L12" i="19"/>
  <c r="K22" i="19" l="1"/>
  <c r="AC22" i="19"/>
  <c r="Q52" i="19"/>
  <c r="W32" i="19"/>
  <c r="W12" i="19"/>
  <c r="K12" i="19"/>
  <c r="W22" i="19"/>
  <c r="Q42" i="19"/>
  <c r="AN15" i="1"/>
  <c r="AI52" i="19"/>
  <c r="AI32" i="19"/>
  <c r="AI42" i="19"/>
  <c r="AC52" i="19"/>
  <c r="AI12" i="19"/>
  <c r="K32" i="19"/>
  <c r="Q22" i="19"/>
  <c r="W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Calidad ETITC</author>
  </authors>
  <commentList>
    <comment ref="N13" authorId="0" shapeId="0" xr:uid="{BED18C1F-61C7-4988-ADA4-0527E23302BB}">
      <text>
        <r>
          <rPr>
            <sz val="9"/>
            <color indexed="81"/>
            <rFont val="Tahoma"/>
            <family val="2"/>
          </rPr>
          <t xml:space="preserve">
Anay Pinto 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Calidad ETITC</author>
  </authors>
  <commentList>
    <comment ref="L13" authorId="0" shapeId="0" xr:uid="{0A683B2B-C85D-43D0-B101-B0462B76EADE}">
      <text>
        <r>
          <rPr>
            <sz val="9"/>
            <color indexed="81"/>
            <rFont val="Tahoma"/>
            <family val="2"/>
          </rPr>
          <t xml:space="preserve">
Anay Pinto 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anay</author>
    <author>Calidad ETITC</author>
  </authors>
  <commentList>
    <comment ref="I13" authorId="0" shapeId="0" xr:uid="{B280D14A-61E9-46F1-AB0C-D29736127B95}">
      <text>
        <r>
          <rPr>
            <b/>
            <sz val="9"/>
            <color indexed="81"/>
            <rFont val="Tahoma"/>
            <family val="2"/>
          </rPr>
          <t>anay:</t>
        </r>
        <r>
          <rPr>
            <sz val="9"/>
            <color indexed="81"/>
            <rFont val="Tahoma"/>
            <family val="2"/>
          </rPr>
          <t xml:space="preserve">
Factor de debilidad o Amenaza DOFA</t>
        </r>
      </text>
    </comment>
    <comment ref="L13" authorId="1" shapeId="0" xr:uid="{B94E796C-1EF1-4D31-AF0A-E731745A4441}">
      <text>
        <r>
          <rPr>
            <sz val="9"/>
            <color indexed="81"/>
            <rFont val="Tahoma"/>
            <family val="2"/>
          </rPr>
          <t xml:space="preserve">
Anay Pinto 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Calidad ETITC</author>
  </authors>
  <commentList>
    <comment ref="L13" authorId="0" shapeId="0" xr:uid="{96F3D711-B063-47C6-A6DE-EB23FBE7D39C}">
      <text>
        <r>
          <rPr>
            <sz val="9"/>
            <color indexed="81"/>
            <rFont val="Tahoma"/>
            <family val="2"/>
          </rPr>
          <t xml:space="preserve">
Anay Pinto V</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Calidad ETITC</author>
  </authors>
  <commentList>
    <comment ref="L13" authorId="0" shapeId="0" xr:uid="{A283EE37-E777-4E09-A246-066C8D3B6BC5}">
      <text>
        <r>
          <rPr>
            <sz val="9"/>
            <color indexed="81"/>
            <rFont val="Tahoma"/>
            <family val="2"/>
          </rPr>
          <t xml:space="preserve">
Anay Pinto V</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Calidad ETITC</author>
  </authors>
  <commentList>
    <comment ref="N13" authorId="0" shapeId="0" xr:uid="{A097542F-F7D1-475A-BF5D-B27D8853C762}">
      <text>
        <r>
          <rPr>
            <sz val="9"/>
            <color indexed="81"/>
            <rFont val="Tahoma"/>
            <family val="2"/>
          </rPr>
          <t xml:space="preserve">
Anay Pinto V</t>
        </r>
      </text>
    </comment>
  </commentList>
</comments>
</file>

<file path=xl/sharedStrings.xml><?xml version="1.0" encoding="utf-8"?>
<sst xmlns="http://schemas.openxmlformats.org/spreadsheetml/2006/main" count="2497" uniqueCount="760">
  <si>
    <t xml:space="preserve">Referencia </t>
  </si>
  <si>
    <t>Descripción del Riesgo</t>
  </si>
  <si>
    <t>Impacto</t>
  </si>
  <si>
    <t>Causa Inmediata</t>
  </si>
  <si>
    <t>Probabilidad</t>
  </si>
  <si>
    <t>%</t>
  </si>
  <si>
    <t>Alta</t>
  </si>
  <si>
    <t>Mayor</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</si>
  <si>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</si>
  <si>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</si>
  <si>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</si>
  <si>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</si>
  <si>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</si>
  <si>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</si>
  <si>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</si>
  <si>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</si>
  <si>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</si>
  <si>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</si>
  <si>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</si>
  <si>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</si>
  <si>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</si>
  <si>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</si>
  <si>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</si>
  <si>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</si>
  <si>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</si>
  <si>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</si>
  <si>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</si>
  <si>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</si>
  <si>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</si>
  <si>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</si>
  <si>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</si>
  <si>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</si>
  <si>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</si>
  <si>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</si>
  <si>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</si>
  <si>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</si>
  <si>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</si>
  <si>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</si>
  <si>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</si>
  <si>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</si>
  <si>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</si>
  <si>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</si>
  <si>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</si>
  <si>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</si>
  <si>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</si>
  <si>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</si>
  <si>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</si>
  <si>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</si>
  <si>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</si>
  <si>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</si>
  <si>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</si>
  <si>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</si>
  <si>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</si>
  <si>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</si>
  <si>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</si>
  <si>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</si>
  <si>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</si>
  <si>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</si>
  <si>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</si>
  <si>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</si>
  <si>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</si>
  <si>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</si>
  <si>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</si>
  <si>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</si>
  <si>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</si>
  <si>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</si>
  <si>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</si>
  <si>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</si>
  <si>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</si>
  <si>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</si>
  <si>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</si>
  <si>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</si>
  <si>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</si>
  <si>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</si>
  <si>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</si>
  <si>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</si>
  <si>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</si>
  <si>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</si>
  <si>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</si>
  <si>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</si>
  <si>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</si>
  <si>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</si>
  <si>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</si>
  <si>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</si>
  <si>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</si>
  <si>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</si>
  <si>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</si>
  <si>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</si>
  <si>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</si>
  <si>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</si>
  <si>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</si>
  <si>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</si>
  <si>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</si>
  <si>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</si>
  <si>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</si>
  <si>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</si>
  <si>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</si>
  <si>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</si>
  <si>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</si>
  <si>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</si>
  <si>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</si>
  <si>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</si>
  <si>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</si>
  <si>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</si>
  <si>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</si>
  <si>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</si>
  <si>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</si>
  <si>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</si>
  <si>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</si>
  <si>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</si>
  <si>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</si>
  <si>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</si>
  <si>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</si>
  <si>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</si>
  <si>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</si>
  <si>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</si>
  <si>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</si>
  <si>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</si>
  <si>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</si>
  <si>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</si>
  <si>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</si>
  <si>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</si>
  <si>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</si>
  <si>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</si>
  <si>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</si>
  <si>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</si>
  <si>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</si>
  <si>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</si>
  <si>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</si>
  <si>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</si>
  <si>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</si>
  <si>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</si>
  <si>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</si>
  <si>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</si>
  <si>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</si>
  <si>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</si>
  <si>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</si>
  <si>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</si>
  <si>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</si>
  <si>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</si>
  <si>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</si>
  <si>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</si>
  <si>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</si>
  <si>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</si>
  <si>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</si>
  <si>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</si>
  <si>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</si>
  <si>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</si>
  <si>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</si>
  <si>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</si>
  <si>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</si>
  <si>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</si>
  <si>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</si>
  <si>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</si>
  <si>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</si>
  <si>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</si>
  <si>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</si>
  <si>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</si>
  <si>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</si>
  <si>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</si>
  <si>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</si>
  <si>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</si>
  <si>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</si>
  <si>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</si>
  <si>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</si>
  <si>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</si>
  <si>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</si>
  <si>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</si>
  <si>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</si>
  <si>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</si>
  <si>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</si>
  <si>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</si>
  <si>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</si>
  <si>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</si>
  <si>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</si>
  <si>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</si>
  <si>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</si>
  <si>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</si>
  <si>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</si>
  <si>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</si>
  <si>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</si>
  <si>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</si>
  <si>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</si>
  <si>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</si>
  <si>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</si>
  <si>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</si>
  <si>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</si>
  <si>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</si>
  <si>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</si>
  <si>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</si>
  <si>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</si>
  <si>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</si>
  <si>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</si>
  <si>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</si>
  <si>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</si>
  <si>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</si>
  <si>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</si>
  <si>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</si>
  <si>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</si>
  <si>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</si>
  <si>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</si>
  <si>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</si>
  <si>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El riesgo afecta la imagen de la entidad con efecto publicitario sostenido a nivel de sector administrativo, nivel departamental o municipal</t>
  </si>
  <si>
    <t>MAPA Y PLAN DE TRATAMIENTO DE RIESGOS</t>
  </si>
  <si>
    <t>PÁGINA:    1 de 1</t>
  </si>
  <si>
    <t>CLASIF. DE CONFIDENCIALIDAD</t>
  </si>
  <si>
    <t>IPB</t>
  </si>
  <si>
    <t>CLASIF. DE INTEGRIDAD</t>
  </si>
  <si>
    <t>A</t>
  </si>
  <si>
    <t>CLASIF. DE DISPONIBILIDAD</t>
  </si>
  <si>
    <t>Seguimiento
1º línea de defensa
(Abril)</t>
  </si>
  <si>
    <t>Seguimiento
2º línea de defensa
(Agosto)</t>
  </si>
  <si>
    <t>Seguimiento
3º línea de defensa
(Noviembre)</t>
  </si>
  <si>
    <t xml:space="preserve">Tipo </t>
  </si>
  <si>
    <t>Corrupción</t>
  </si>
  <si>
    <t>Estratégico</t>
  </si>
  <si>
    <t>Financiero</t>
  </si>
  <si>
    <t>Gestión</t>
  </si>
  <si>
    <t>Seguridad digital</t>
  </si>
  <si>
    <t>SST</t>
  </si>
  <si>
    <t>Tecnológico</t>
  </si>
  <si>
    <t>Ambiental</t>
  </si>
  <si>
    <t>Factor</t>
  </si>
  <si>
    <t>Evento externo</t>
  </si>
  <si>
    <t>Infraestructura</t>
  </si>
  <si>
    <t>Procesos</t>
  </si>
  <si>
    <t>Talento humano</t>
  </si>
  <si>
    <t>Tecnología</t>
  </si>
  <si>
    <t>Activo de información</t>
  </si>
  <si>
    <t>Hardware</t>
  </si>
  <si>
    <t>Software</t>
  </si>
  <si>
    <t>Servicios</t>
  </si>
  <si>
    <t>Documental</t>
  </si>
  <si>
    <t>NA</t>
  </si>
  <si>
    <t>Confidencialidad</t>
  </si>
  <si>
    <t>Disponibilidad</t>
  </si>
  <si>
    <t>Integridad</t>
  </si>
  <si>
    <t>Criterio</t>
  </si>
  <si>
    <t>Activo de información afectado</t>
  </si>
  <si>
    <t>Criterio afectado</t>
  </si>
  <si>
    <t>VERSIÓN:  8</t>
  </si>
  <si>
    <t>Evidencias</t>
  </si>
  <si>
    <r>
      <rPr>
        <b/>
        <sz val="6"/>
        <color rgb="FF000000"/>
        <rFont val="Arial"/>
        <family val="2"/>
      </rPr>
      <t xml:space="preserve">Escuela Tecnológica Instituto Técnico Central
</t>
    </r>
    <r>
      <rPr>
        <b/>
        <sz val="5"/>
        <color rgb="FF000000"/>
        <rFont val="Arial"/>
        <family val="2"/>
      </rPr>
      <t>Establecimiento Público de Educación Superior</t>
    </r>
  </si>
  <si>
    <t>PÁGINA:     1 de 1</t>
  </si>
  <si>
    <t>FECHA</t>
  </si>
  <si>
    <t>DESCRIPCIÓN DE LA ACTUALIZACIÓN</t>
  </si>
  <si>
    <t>RESPONSABLE</t>
  </si>
  <si>
    <t>CARGO</t>
  </si>
  <si>
    <t>CÓDIGO: GDC-FO-09</t>
  </si>
  <si>
    <r>
      <rPr>
        <b/>
        <sz val="6"/>
        <color theme="1"/>
        <rFont val="Arial"/>
        <family val="2"/>
      </rPr>
      <t>Escuela Tecnológica Instituto Técnico Central</t>
    </r>
    <r>
      <rPr>
        <b/>
        <sz val="5"/>
        <color theme="1"/>
        <rFont val="Arial"/>
        <family val="2"/>
      </rPr>
      <t xml:space="preserve">
Establecimiento Público de Educación Superior</t>
    </r>
  </si>
  <si>
    <t>VERSIÓN</t>
  </si>
  <si>
    <t>CAMBIOS</t>
  </si>
  <si>
    <t>ELABORÓ</t>
  </si>
  <si>
    <t>REVISÓ</t>
  </si>
  <si>
    <t>APROBÓ</t>
  </si>
  <si>
    <t>ANAY PINTO</t>
  </si>
  <si>
    <t xml:space="preserve">JORGE HERRERA ORTIZ </t>
  </si>
  <si>
    <t>Profesional de Calidad</t>
  </si>
  <si>
    <t>Representante de la Dirección</t>
  </si>
  <si>
    <t>Documento controlado por el Sistema de Gestión de la Calidad</t>
  </si>
  <si>
    <t>Asegúrese que corresponde a la última versión consultando el micrositio de calidad de la Escuela Tecnológica Instituto Técnico Central (ETITC)</t>
  </si>
  <si>
    <t>VIGENCIA: 2024-08-22</t>
  </si>
  <si>
    <t>VERSIÓN: 8</t>
  </si>
  <si>
    <t xml:space="preserve">Se incluye protada, control de cambios del registro, riesgos fiscales </t>
  </si>
  <si>
    <t>REGRESAR</t>
  </si>
  <si>
    <r>
      <rPr>
        <b/>
        <sz val="11"/>
        <color rgb="FF000000"/>
        <rFont val="Arial"/>
        <family val="2"/>
      </rPr>
      <t>E</t>
    </r>
    <r>
      <rPr>
        <b/>
        <sz val="10"/>
        <color rgb="FF000000"/>
        <rFont val="Arial"/>
        <family val="2"/>
      </rPr>
      <t>scuela Tecnológica Instituto Técnico Central</t>
    </r>
    <r>
      <rPr>
        <b/>
        <sz val="6"/>
        <color rgb="FF000000"/>
        <rFont val="Arial"/>
        <family val="2"/>
      </rPr>
      <t xml:space="preserve">
</t>
    </r>
    <r>
      <rPr>
        <b/>
        <sz val="8"/>
        <color rgb="FF000000"/>
        <rFont val="Arial"/>
        <family val="2"/>
      </rPr>
      <t>Establecimiento Público de Educación Superior</t>
    </r>
  </si>
  <si>
    <t>Criterios para calificar el impacto en riesgos de corrupción</t>
  </si>
  <si>
    <t>Pregunta: ¿Si el riesgo de corrupción se materializa podría:</t>
  </si>
  <si>
    <t>MARACAR CON X</t>
  </si>
  <si>
    <t>SI</t>
  </si>
  <si>
    <t>NO</t>
  </si>
  <si>
    <t>¿Afectar al grupo de funcionarios del proceso?</t>
  </si>
  <si>
    <t>X</t>
  </si>
  <si>
    <t>¿Afectar el cumplimiento de metas y objetivos de la dependencia?</t>
  </si>
  <si>
    <t>¿Afectar el cumplimiento de misión de la entidad?</t>
  </si>
  <si>
    <t>¿Afectar el cumplimiento de misión del sector al que pertenece la entidad?</t>
  </si>
  <si>
    <t>¿Generar perdida de confianza de la entidad , afectando su reputación?</t>
  </si>
  <si>
    <t>¿Generar perdida de recursos económicos?</t>
  </si>
  <si>
    <t>¿Afectar la generación de los productos o la prestación de los servicios?</t>
  </si>
  <si>
    <t>¿Dar lugar al detrimento de la calidad de vida de la comunidad por la perdida del bien, servicio o recursos públicos?</t>
  </si>
  <si>
    <t>¿Generar pérdida de información de la entidad?</t>
  </si>
  <si>
    <t>¿Generar intervención de los órganos de control, de la Fiscalia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</si>
  <si>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</si>
  <si>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</si>
  <si>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</si>
  <si>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</si>
  <si>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</si>
  <si>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</si>
  <si>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</si>
  <si>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</si>
  <si>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</si>
  <si>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2,3 y 5 Mapa Final de Gestión, Corrupción y Seguridad de la Información: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</si>
  <si>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Hoja 6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</si>
  <si>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7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</si>
  <si>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8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</si>
  <si>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9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</si>
  <si>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10 Tabla de Valoración de Controles: </t>
    </r>
    <r>
      <rPr>
        <sz val="11"/>
        <rFont val="Arial Narrow"/>
        <family val="2"/>
      </rPr>
      <t>Tabla referente para todos los cálculos (no se diligencia)</t>
    </r>
  </si>
  <si>
    <t>ITEM</t>
  </si>
  <si>
    <t>CRITERIOS PARA CALIFICAR EL IMPACTO EN RIESGOS DE CORRUPCIÓN</t>
  </si>
  <si>
    <r>
      <rPr>
        <b/>
        <sz val="10"/>
        <color rgb="FF000000"/>
        <rFont val="Arial"/>
        <family val="2"/>
      </rPr>
      <t>Escuela Tecnológica Instituto Técnico Central</t>
    </r>
    <r>
      <rPr>
        <b/>
        <sz val="6"/>
        <color rgb="FF000000"/>
        <rFont val="Arial"/>
        <family val="2"/>
      </rPr>
      <t xml:space="preserve">
</t>
    </r>
    <r>
      <rPr>
        <b/>
        <sz val="8"/>
        <color rgb="FF000000"/>
        <rFont val="Arial"/>
        <family val="2"/>
      </rPr>
      <t>Establecimiento Público de Educación Superior</t>
    </r>
  </si>
  <si>
    <t xml:space="preserve">SEGUNDA LÍNEA DE DEFENSA (Oficina asesora de Planeación) </t>
  </si>
  <si>
    <t>TERCERA LÍNEA DE DEFENSA (Control Interno)</t>
  </si>
  <si>
    <t>PRIMERA LÍNEA DE DEFENSA (Líder del Proceso)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</si>
  <si>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V6</t>
    </r>
    <r>
      <rPr>
        <sz val="10"/>
        <rFont val="Arial Narrow"/>
        <family val="2"/>
      </rPr>
      <t>. El formato cuenta con celdas parametrizadas y permite contar con los respectivos mapas de calor para riesgo inherente y riesgo residual.</t>
    </r>
  </si>
  <si>
    <t>(Y('Mapa final'!$L$22="Muy Alta",'Mapa final'!$P$22="Leve"),CONCATENAR("R",'Mapa final'!$A$22),"")</t>
  </si>
  <si>
    <t>Causa Inmediata
CAUSA (VULNERABILIDADES)</t>
  </si>
  <si>
    <t>Causa Raíz-Amenazas</t>
  </si>
  <si>
    <t xml:space="preserve">PREGUNTAR  RIESGOS DE CORRUPCIÓN </t>
  </si>
  <si>
    <t xml:space="preserve">Fiscal </t>
  </si>
  <si>
    <t>Tipo de Riesgo  (Clasificación)</t>
  </si>
  <si>
    <t>Daño fiscal</t>
  </si>
  <si>
    <t>Recursos públicos</t>
  </si>
  <si>
    <t>Bienes públicos</t>
  </si>
  <si>
    <t>Intereses patrimoniales de naturaleza pública</t>
  </si>
  <si>
    <t>Efecto Dañoso (fiscal)</t>
  </si>
  <si>
    <t>FACTOR</t>
  </si>
  <si>
    <t>Información</t>
  </si>
  <si>
    <t xml:space="preserve">Software </t>
  </si>
  <si>
    <t>Componentes
de red</t>
  </si>
  <si>
    <t>Personas</t>
  </si>
  <si>
    <t>Instalaciones</t>
  </si>
  <si>
    <t>Redaccion del Riesgo General</t>
  </si>
  <si>
    <t xml:space="preserve">Redaccion del Riesgo  fiscal </t>
  </si>
  <si>
    <t>CÓDIGO:GSI- CA-FO-09</t>
  </si>
  <si>
    <t>Seguridad y salud en el trabajo</t>
  </si>
  <si>
    <t>Operativo</t>
  </si>
  <si>
    <t>Imagen</t>
  </si>
  <si>
    <t>•	Procesos</t>
  </si>
  <si>
    <t>•	Talento humano</t>
  </si>
  <si>
    <t>•	Tecnología</t>
  </si>
  <si>
    <t>•	Infraestructura</t>
  </si>
  <si>
    <t>•	Evento externo</t>
  </si>
  <si>
    <t>¿Afectar el cumplimiento de la misión del sector al que pertenece la entidad?</t>
  </si>
  <si>
    <t>VIGENCIA: 2024-09-20</t>
  </si>
  <si>
    <t>CÓDIGO: GSI- CA-FO-09</t>
  </si>
  <si>
    <t>GESTIÓN DE CALIDAD</t>
  </si>
  <si>
    <t>Apoyar el desarrollo del Sistema Integrado de Gestión por medio de herramientas y métodos que garanticen la documentación, desarrollo, mantenimiento y mejora continua de la eficacia, eficiencia y efectividad de la gestión institucional.</t>
  </si>
  <si>
    <t xml:space="preserve">Aplica a todos los procesos del Sistema Integrado de Gestión de la Institución, desde la planificación del sistema hasta la mejora y efectividad de las acciones tomadas. </t>
  </si>
  <si>
    <t>D1 - Presentar información inexacta sobre el desempeño de la ETITC</t>
  </si>
  <si>
    <t xml:space="preserve">Falta de seguimiento y verificación de la información reportada   </t>
  </si>
  <si>
    <t xml:space="preserve">Posibilidad de afectación reputacional  por presentar información inexacta sobre el desempeño de la ETITC, debido a la falta de seguimiento y verificación de la información reportada </t>
  </si>
  <si>
    <t>Soportes del Control o Evidencia del control</t>
  </si>
  <si>
    <t>Valoración del riesgo residual</t>
  </si>
  <si>
    <t>D2 - Formular e implementar acciones que no contribuyan a aumentar la eficacia, eficiencia y efectividad de los controles y el desempeño institucional</t>
  </si>
  <si>
    <t>Inadecuada identificación y descripción de hallazgos por parte de los auditores internos de la escuela</t>
  </si>
  <si>
    <t>Posibilidad de afectación reputacional  por formular e implementar acciones que no contribuyen al aumento de la eficacia, eficiencia y efectividad de los controles y el desempeño institucional, debido a la inadecuada identificación y descripción de hallazgos por parte de los auditores internos de la escuela</t>
  </si>
  <si>
    <t>D9 - Identificar riesgos que no contribuyen al logro de los objetivos institucionales</t>
  </si>
  <si>
    <t>Insuficiente divulgación de la metodología de riesgos</t>
  </si>
  <si>
    <t>Posibilidad de afectación reputacional  por identificar riesgos que no contribuyan al logro de los objetivos institucionales, debido a la insuficiente divulgación de la metodología de riesgos.</t>
  </si>
  <si>
    <t xml:space="preserve">A4- Ingreso de personal externo sin las medidas de control establecidas en la entidad </t>
  </si>
  <si>
    <t xml:space="preserve">Actualizar la metodología y procedimiento de riesgos de la escuela </t>
  </si>
  <si>
    <t>Aseguramiento de la calidad</t>
  </si>
  <si>
    <t>Fecha:2025-01-30</t>
  </si>
  <si>
    <t>Valoración del control</t>
  </si>
  <si>
    <t>Subcausas de la causa raíz</t>
  </si>
  <si>
    <t>Ejecución y Administración de procesos</t>
  </si>
  <si>
    <t xml:space="preserve">Reducir la probabilidad de materialización del riesgo mediante la aplicación de los controles establecidos </t>
  </si>
  <si>
    <r>
      <t xml:space="preserve">El líder del proceso debe solicitar los insumos, consolidar y validar la información para elaborar el informe de revisión por la dirección.
</t>
    </r>
    <r>
      <rPr>
        <b/>
        <sz val="10"/>
        <color theme="1"/>
        <rFont val="Arial"/>
        <family val="2"/>
      </rPr>
      <t>Desviación del control</t>
    </r>
  </si>
  <si>
    <r>
      <t xml:space="preserve">El líder del proceso debe realizar seguimiento y revisión de los informes de auditoria 
</t>
    </r>
    <r>
      <rPr>
        <b/>
        <sz val="10"/>
        <color theme="1"/>
        <rFont val="Arial"/>
        <family val="2"/>
      </rPr>
      <t>Desviación del control</t>
    </r>
    <r>
      <rPr>
        <sz val="10"/>
        <color theme="1"/>
        <rFont val="Arial"/>
        <family val="2"/>
      </rPr>
      <t xml:space="preserve">
Solicitar por correo institucional los avances de los informes </t>
    </r>
  </si>
  <si>
    <t xml:space="preserve">Fortalecer las competencias para realizar los planes de mejoramiento a través de herramientas que identifiquen la causa raíz.  </t>
  </si>
  <si>
    <r>
      <t xml:space="preserve">El líder del proceso debe realizar el seguimiento a la formulación de los planes de mejora producto de las auditorias internas 
</t>
    </r>
    <r>
      <rPr>
        <b/>
        <sz val="10"/>
        <color theme="1"/>
        <rFont val="Arial"/>
        <family val="2"/>
      </rPr>
      <t>Desviación del control</t>
    </r>
    <r>
      <rPr>
        <sz val="10"/>
        <color theme="1"/>
        <rFont val="Arial"/>
        <family val="2"/>
      </rPr>
      <t xml:space="preserve">
Solicitar avances por correo electrónico </t>
    </r>
  </si>
  <si>
    <r>
      <t xml:space="preserve">El líder del proceso debe realizar acompañamiento a los lideres de procesos  o monitoreo de riesgos
</t>
    </r>
    <r>
      <rPr>
        <b/>
        <sz val="10"/>
        <color theme="1"/>
        <rFont val="Arial"/>
        <family val="2"/>
      </rPr>
      <t xml:space="preserve">Desviación del control </t>
    </r>
    <r>
      <rPr>
        <sz val="10"/>
        <color theme="1"/>
        <rFont val="Arial"/>
        <family val="2"/>
      </rPr>
      <t xml:space="preserve">
Solicitar los seguimientos que realizan desde planeación </t>
    </r>
  </si>
  <si>
    <r>
      <t xml:space="preserve">El líder del proceso Brindara acompañamiento para la revisión e identificación de riesgos 
</t>
    </r>
    <r>
      <rPr>
        <b/>
        <sz val="11"/>
        <color theme="1"/>
        <rFont val="Arial Narrow"/>
        <family val="2"/>
      </rPr>
      <t>Desviación del control</t>
    </r>
    <r>
      <rPr>
        <sz val="11"/>
        <color theme="1"/>
        <rFont val="Arial Narrow"/>
        <family val="2"/>
      </rPr>
      <t xml:space="preserve">
Solicitar la información para analizarla e incluirla en el mapa de riesgos </t>
    </r>
  </si>
  <si>
    <t xml:space="preserve">No se tiene documentados protocolos de ingreso y control de población flotante en la entidad. </t>
  </si>
  <si>
    <t>Posibilidad de efectos dañoso sobre bienes públicos por pérdida, extravío o hurto de bienes muebles o equipos de computo  de la entidad. a causa de ingresos no autorizado de personal externo a áreas administrativas.</t>
  </si>
  <si>
    <r>
      <t xml:space="preserve">El líder del proceso implementara las medidas de control que estén a su alcance para resguardar el inventario a su cargo. 
</t>
    </r>
    <r>
      <rPr>
        <b/>
        <sz val="10"/>
        <color theme="1"/>
        <rFont val="Arial"/>
        <family val="2"/>
      </rPr>
      <t xml:space="preserve">Desviación del control 
</t>
    </r>
    <r>
      <rPr>
        <sz val="10"/>
        <color theme="1"/>
        <rFont val="Arial"/>
        <family val="2"/>
      </rPr>
      <t xml:space="preserve">Realizar traslado del inventario al supervisor del contrato </t>
    </r>
  </si>
  <si>
    <t xml:space="preserve">Verificar que se cuente con el inventario del área de calidad actualizado. </t>
  </si>
  <si>
    <t xml:space="preserve">Anay Pinto </t>
  </si>
  <si>
    <t>Contratista-Profesional de calidad</t>
  </si>
  <si>
    <t xml:space="preserve">Seguridad de la información </t>
  </si>
  <si>
    <t xml:space="preserve">Informes trimestrales de la evaluación de la prestación del servicio enviados a Gestión Documental
</t>
  </si>
  <si>
    <t xml:space="preserve">
DIE-DO-07</t>
  </si>
  <si>
    <t xml:space="preserve">Informe de revisión por la dirección
documentación 
</t>
  </si>
  <si>
    <t xml:space="preserve">
GDC-PC-03</t>
  </si>
  <si>
    <t xml:space="preserve">Informe revisado 
</t>
  </si>
  <si>
    <t>GCI-PC-02</t>
  </si>
  <si>
    <t xml:space="preserve">Envío de planes de mejoramiento a la Oficina de Control Interno
</t>
  </si>
  <si>
    <t xml:space="preserve">
GDC-PC-05 </t>
  </si>
  <si>
    <t xml:space="preserve">Mapa y plan de tratamiento de riesgos publicado con el monitoreo 
</t>
  </si>
  <si>
    <t xml:space="preserve">
Guía  DAFP</t>
  </si>
  <si>
    <t xml:space="preserve">Mapa y plan de tratamiento de riesgos actualizado 
</t>
  </si>
  <si>
    <t xml:space="preserve">
Guía  DAPT</t>
  </si>
  <si>
    <t xml:space="preserve">Registro GRF-FO-03 
Inventario
</t>
  </si>
  <si>
    <t xml:space="preserve">
Procedimiento GRF-PC-03 </t>
  </si>
  <si>
    <t>LÍDER DEL PROCESO: Anay Pinto V</t>
  </si>
  <si>
    <t xml:space="preserve">Documento controlado por el Sistema de Gestión de la Calidad
Asegúrese que corresponde a la última versión consultando el micrositio de calidad de la Escuela Tecnológica Instituto Técnico Central (ETITC) </t>
  </si>
  <si>
    <r>
      <rPr>
        <b/>
        <sz val="11"/>
        <color rgb="FFC00000"/>
        <rFont val="Arial"/>
        <family val="2"/>
      </rPr>
      <t>*Nota</t>
    </r>
    <r>
      <rPr>
        <sz val="11"/>
        <color theme="1"/>
        <rFont val="Arial"/>
        <family val="2"/>
      </rPr>
      <t>: 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</si>
  <si>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Se actualizo a la versión  No del formato y incluyó riesgo No 4 (riesgo fiscal)</t>
  </si>
  <si>
    <t>Fecha: 2025/01/30</t>
  </si>
  <si>
    <t>LIDER DEL PROCESO:    Esp. SANDRA J. GUERRERO G.</t>
  </si>
  <si>
    <r>
      <rPr>
        <sz val="11"/>
        <color theme="9"/>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</si>
  <si>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 xml:space="preserve"> Líder de Seguridad de la Información</t>
  </si>
  <si>
    <t xml:space="preserve">1. Mantenimiento del Sistema de
Gestión de Seguridad de la
Información NTC ISO 27001.
2. Aplicar estrategias para validar el
cumplimiento de las políticas de
Seguridad y Privacidad de la
información.
3. Mantener en condiciones estables los
incidentes y riesgos de seguridad de
la información de acuerdo con
procedimiento definido.
4. Ejecutar actividades definidas en el Plan Operativo de Seguridad y Privacidad
de la Información
5.  Cronograma de actividades para la transición de ISO 27001:2022
</t>
  </si>
  <si>
    <t xml:space="preserve">
1. Realizar gestión de cambios para la implementación de ISO 27001:2022
2. Realizar actividades para
mantener la certificación
del Sistema de Gestión
de Seguridad de la
Información NTC ISO/IEC
27001.
3. Socialización y retroalimentación a los lideres de los procesos gestión de cambios en caracterizaciones.</t>
  </si>
  <si>
    <t xml:space="preserve">Por identificar </t>
  </si>
  <si>
    <t>A.5.8 Seguridad de la Información en la Gestión de Proyectos
Plan Anual de Adquisiciones
GSI-DO-02 SOA (documento interno privado)
GDC-FO-12 Matriz de planificación y gestión del cambio
A.6.3 Conciencia, de seguridad de la información, educación y formación.
Plan Operativo  de Seguridad de la Información</t>
  </si>
  <si>
    <t>El profesional de Seguridad incluye en las actividades de planeación estrategica la implementación de nueva norma ISO 27001:2022 Seguridad de la Información, Ciberseguridad y Protección de la Privacidad con la finalidad de asegurar a la ETITC, alineación con los estándares más recientes en gestión de seguridad de la información (SGSI). Garantizando mejores prácticas y enfoques actualizados para proteger la información de la entidad y aumentar la credibilidad a nuestras partes interesadas. 
DESVIACION DEL CONTROL
Solicitar a lCONTEC, incluir entrenamiento para fortalecimiento de las competencias de auditores internos en la nueva norma ISO 27001:2022 y revisión a través de Auditoria Externa.</t>
  </si>
  <si>
    <t xml:space="preserve">Posibilidad de pérdida  reputacional por la actualización de norma ISO 27001:2022 y falta de recursos adicionales en términos de tiempo, personal y capacitación para comprender y aplicar los cambios correctamente.
</t>
  </si>
  <si>
    <t>Falta de familiaridad normativa de ISO 27001:2022 con los nuevos requisitos y cambios de la estructura de la norma</t>
  </si>
  <si>
    <r>
      <rPr>
        <b/>
        <sz val="11"/>
        <rFont val="Arial"/>
        <family val="2"/>
      </rPr>
      <t xml:space="preserve">D5 - </t>
    </r>
    <r>
      <rPr>
        <sz val="11"/>
        <rFont val="Arial"/>
        <family val="2"/>
      </rPr>
      <t>Falta de conocimientos del personal de Gestión de Informática y Comunicaciones que aporta a la implementación de controles técnicos de Seguridad de la Información.</t>
    </r>
    <r>
      <rPr>
        <b/>
        <sz val="11"/>
        <rFont val="Arial"/>
        <family val="2"/>
      </rPr>
      <t xml:space="preserve">
D11 - </t>
    </r>
    <r>
      <rPr>
        <sz val="11"/>
        <rFont val="Arial"/>
        <family val="2"/>
      </rPr>
      <t>Falta de apropiación de los procesos, procedimientos y uso de los sistemas de información de la Escuela por parte de los servidores públicos y contratistas.</t>
    </r>
    <r>
      <rPr>
        <b/>
        <sz val="11"/>
        <rFont val="Arial"/>
        <family val="2"/>
      </rPr>
      <t xml:space="preserve">
D - </t>
    </r>
    <r>
      <rPr>
        <sz val="11"/>
        <rFont val="Arial"/>
        <family val="2"/>
      </rPr>
      <t>Falta de familiaridad normativa de ISO 27001:2022 de la comunidad educativa con los nuevos requisitos y cambios en la estructura de la norma.</t>
    </r>
    <r>
      <rPr>
        <b/>
        <sz val="11"/>
        <rFont val="Arial"/>
        <family val="2"/>
      </rPr>
      <t xml:space="preserve">
D - </t>
    </r>
    <r>
      <rPr>
        <sz val="11"/>
        <rFont val="Arial"/>
        <family val="2"/>
      </rPr>
      <t>Falta de adaptación de procesos para revisar y adaptación de gestión de cambios para cumplir con los nuevos requisitos y enfoques de la norma.</t>
    </r>
    <r>
      <rPr>
        <b/>
        <sz val="11"/>
        <rFont val="Arial"/>
        <family val="2"/>
      </rPr>
      <t xml:space="preserve">
D - </t>
    </r>
    <r>
      <rPr>
        <sz val="11"/>
        <rFont val="Arial"/>
        <family val="2"/>
      </rPr>
      <t>Falta de documentación relacionada con el sistema de gestión de seguridad de la información, ciberseguridad y protección de la privacidad para reflejar los cambios introducidos por la nueva versión.</t>
    </r>
    <r>
      <rPr>
        <b/>
        <sz val="11"/>
        <rFont val="Arial"/>
        <family val="2"/>
      </rPr>
      <t xml:space="preserve">
D- </t>
    </r>
    <r>
      <rPr>
        <sz val="11"/>
        <rFont val="Arial"/>
        <family val="2"/>
      </rPr>
      <t>Falta de coordinación con las partes interesadas para asegurar la alineación durante el proceso de transición de ISO 27001:2022</t>
    </r>
  </si>
  <si>
    <t>1. Actualizar la política de teletrabajo  en cumplimiento a los lineamientos dados bajo la CIRCULAR 06 DE 2024 - SOCIALIZACIÓN MEDIDAS DE TRABAJO REMOTO Y
SINCRÓNICO Y ADOPCION DE TELETRABAJO EN LA
ETITC.
2. Realizar actividades de toma de conciencia, educación y formación en la seguridad de la información - Gestión de contraseñas a los funcionarios ETITC.
3. Realizar seguimiento a teletrabajadores con base al GSI-FO-08 INSPECCIÓN TÉCNICA DE SEGURIDAD DE LA INFORMACIÓN.
4. Resolución 184 de 2024: 22 de marzo de 2024 - Por la cual se adopta el teletrabajo en modalidad suplementaria en el primer semestre de la vigencia 2024 en la ETITC.</t>
  </si>
  <si>
    <t xml:space="preserve">
1. Reestablecer el servicio en el menor tiempo posible.
2. Realizar el análisis técnico con el fin de identificar la causa raíz.
3. Documentar las acciones y lecciones aprendidas. 
4. Socialización y retroalimentación al equipo responsable con el fin de sensibilizar las causas de la materialización del riesgo.</t>
  </si>
  <si>
    <t>​​​​​​​GSI-DO-02 SOA (documento interno privado)
GDC-FO-12 Matriz de planificación y gestión del cambio</t>
  </si>
  <si>
    <t>1. El profesional de Seguridad de la Información debe realizar la verificación con base al registro de GSI-FO-08 INSPECCION TECNICA DE SEGURIDAD DE LA INFORMACION
2. El profesional de Seguridad de la Información debe realizar la validación de la declaración de aplicabilidad con base al registro de GSI-FO-09 Informe de Pruebas de Auditoría Técnica
DESVIACION DEL CONTROL
El profesional de continuidad del servicio debe asegurarse del correcto funcionamiento de la prestación de servicios en alta disponibilidad.</t>
  </si>
  <si>
    <t>Más de 5000 veces por año</t>
  </si>
  <si>
    <t xml:space="preserve">Servicios, Software, Hardware, Documental </t>
  </si>
  <si>
    <t>Posibilidad de afectación económica y pérdida  reputacional por perdida de información y otros recursos institucionales de la   ETITC, debido al incumplimiento del manual de políticas de seguridad de la información.</t>
  </si>
  <si>
    <t>Aumento de los niveles del crimen organizado a través de internet.</t>
  </si>
  <si>
    <r>
      <rPr>
        <b/>
        <sz val="11"/>
        <color theme="1"/>
        <rFont val="Arial"/>
        <family val="2"/>
      </rPr>
      <t>D10 -</t>
    </r>
    <r>
      <rPr>
        <sz val="11"/>
        <color theme="1"/>
        <rFont val="Arial"/>
        <family val="2"/>
      </rPr>
      <t xml:space="preserve"> Falta de lineamientos para la asignación de roles y responsabilidades para gestión de usuarios en los sistemas de información
</t>
    </r>
    <r>
      <rPr>
        <b/>
        <sz val="11"/>
        <color theme="1"/>
        <rFont val="Arial"/>
        <family val="2"/>
      </rPr>
      <t>D11 -</t>
    </r>
    <r>
      <rPr>
        <sz val="11"/>
        <color theme="1"/>
        <rFont val="Arial"/>
        <family val="2"/>
      </rPr>
      <t xml:space="preserve"> Falta de apropiación de los procesos, procedimientos y uso de los sistemas de información de la Escuela por parte de los servidores públicos y contratistas
</t>
    </r>
    <r>
      <rPr>
        <b/>
        <sz val="11"/>
        <color theme="1"/>
        <rFont val="Arial"/>
        <family val="2"/>
      </rPr>
      <t>D8 -</t>
    </r>
    <r>
      <rPr>
        <sz val="11"/>
        <color theme="1"/>
        <rFont val="Arial"/>
        <family val="2"/>
      </rPr>
      <t xml:space="preserve"> Desconocimiento por parte de los servidores públicos y contratistas en las técnicas de Ingeniería social (spam, phishing, fakemailing, entre otros.)
</t>
    </r>
    <r>
      <rPr>
        <b/>
        <sz val="11"/>
        <color theme="1"/>
        <rFont val="Arial"/>
        <family val="2"/>
      </rPr>
      <t>D15 -</t>
    </r>
    <r>
      <rPr>
        <sz val="11"/>
        <color theme="1"/>
        <rFont val="Arial"/>
        <family val="2"/>
      </rPr>
      <t xml:space="preserve"> Manejo inadecuado de contraseñas.
</t>
    </r>
  </si>
  <si>
    <t>7. Divulgar los riesgos al utilizar WhatsAap Web en las estaciones Administrativas.
8. Realizar mesas de trabajo con las áreas que deben usar el aplicativo de WhatsAap Web para el desarrollo de las actividades, anexando acta de aceptación del riesgo al mismo.
9. Sensibilizar a las partes interesadas acerca de los lineamientos de seguridad digital para el correcto funcionamiento de WhatsAap Web.</t>
  </si>
  <si>
    <t xml:space="preserve">2. El profesional de Seguridad de la Información debe realizar la verificación de accesos a URLs, permitidos en la navegación web de las estaciones administrativas,  inlcuído acceso a WhatsAap Web.
DESVIACION DEL CONTROL
Contactar a las entidades externas oficiales que dan soporte a incidentes de seguridad de la información tales
como la COLCERT, CSIRT de Gobierno, Fiscalía y DIJIN de acuerdo al procedimiento GIC-PC-13 Contacto con las autoridades. </t>
  </si>
  <si>
    <t>1. Actualizar reglas al FIREWALL, con las IP de procedencia sospecha y fuera de los países donde la ETITC, no tenga relaciones comerciales y/o académicas.
2. Realizar actividades de vulnerabilidad técnica o análisis, pruebas de penetración, auditoría de redes y a sistemas de información de acuerdo con las buenas prácticas de Ciberseguridad.
3. Establecer y acordar todos los requisitos de seguridad de la información dentro de los acuerdos  pertinente a cada proveedor.
4. Realizar revisiones periódicas a las políticas especificas de seguridad e la información directamente en la consola de antivirus y en especial realizar control de puertos USB.
5. Realizar auditoría técnica a las aplicaciones de Carnet Digital.
6. Aplicar buenas prácticas de OWASP y NIST.</t>
  </si>
  <si>
    <t>A.5.8 Seguridad de la Información en la Gestión de Proyectos
A.7.5 Protección contra amenazas físicas y ambientales
A.8.7 Controles contra malware
A.8.21 Seguridad de los servicios de red.
A.5.24 Planificación y preparación de la Gestión de Incidentes de Seguridad de la Información.
Buenas prácticas OWASP y NIST.
Resultados de análisis de vulnerabilidades.</t>
  </si>
  <si>
    <t xml:space="preserve">1. El profesional de Seguridad de la Información desde la consola SEM,  monitorea los eventos de seguridad digital y logs para evitar posibles ataques o vulnerabilidades a los sistemas de información, debido a  intrusiones cibernéticas a las aplicaciones, página web por navegación URLS externas a la ETITC.
DESVIACION DEL CONTROL
Contactar a las entidades externas oficiales que dan soporte a incidentes de seguridad de la información tales
como la COLCERT, CSIRT de Gobierno, Fiscalía y DIJIN de acuerdo al procedimiento GIC-PC-13 Contacto con las autoridades. </t>
  </si>
  <si>
    <t xml:space="preserve">Servicios, Software, Documental </t>
  </si>
  <si>
    <t>Posibilidad de afectación económica y pérdida  reputacional por  modificación de los datos, debido a  las brechas de seguridad  en las aplicaciones, página web y URLs externas a la ETITC.</t>
  </si>
  <si>
    <t xml:space="preserve">Ataques  o denegación de servicios - sabotaje </t>
  </si>
  <si>
    <r>
      <rPr>
        <b/>
        <sz val="11"/>
        <color theme="1"/>
        <rFont val="Arial"/>
        <family val="2"/>
      </rPr>
      <t>D3 -</t>
    </r>
    <r>
      <rPr>
        <sz val="11"/>
        <color theme="1"/>
        <rFont val="Arial"/>
        <family val="2"/>
      </rPr>
      <t xml:space="preserve"> Falta de software especializado que permitan hacer seguimiento de análisis de vulnerabilidades, realizar pruebas de penetración, auditoría de redes y a sistemas de información.
</t>
    </r>
    <r>
      <rPr>
        <b/>
        <sz val="11"/>
        <color theme="1"/>
        <rFont val="Arial"/>
        <family val="2"/>
      </rPr>
      <t xml:space="preserve">D16 - </t>
    </r>
    <r>
      <rPr>
        <sz val="11"/>
        <color theme="1"/>
        <rFont val="Arial"/>
        <family val="2"/>
      </rPr>
      <t xml:space="preserve">Falta de presupuesto para la renovación de la infraestructura tecnológica, lo que genera contar con infraestructura obsoleta e incompatibilidad con nuevas tecnologías.
</t>
    </r>
    <r>
      <rPr>
        <b/>
        <sz val="11"/>
        <color theme="1"/>
        <rFont val="Arial"/>
        <family val="2"/>
      </rPr>
      <t xml:space="preserve">A8 - </t>
    </r>
    <r>
      <rPr>
        <sz val="11"/>
        <color theme="1"/>
        <rFont val="Arial"/>
        <family val="2"/>
      </rPr>
      <t xml:space="preserve">Ataques informáticos a infraestructura tecnológica debido a puertos de comunicación TCP/UDP no autorizados en estado abierto (sin filtrar)
</t>
    </r>
    <r>
      <rPr>
        <b/>
        <sz val="11"/>
        <color theme="1"/>
        <rFont val="Arial"/>
        <family val="2"/>
      </rPr>
      <t xml:space="preserve">D5 - </t>
    </r>
    <r>
      <rPr>
        <sz val="11"/>
        <color theme="1"/>
        <rFont val="Arial"/>
        <family val="2"/>
      </rPr>
      <t xml:space="preserve">Falta de conocimientos del personal de Gestión de Informática y Comunicaciones que aporta a la implementación de controles técnicos de Seguridad de la Información.
</t>
    </r>
    <r>
      <rPr>
        <b/>
        <sz val="11"/>
        <color theme="1"/>
        <rFont val="Arial"/>
        <family val="2"/>
      </rPr>
      <t>A7 -</t>
    </r>
    <r>
      <rPr>
        <sz val="11"/>
        <color theme="1"/>
        <rFont val="Arial"/>
        <family val="2"/>
      </rPr>
      <t xml:space="preserve"> Los proveedores de los sistemas operativos, canal de internet, no son compatibles con la infraestructura tecnológica de la Escuela.
</t>
    </r>
  </si>
  <si>
    <t xml:space="preserve">1.  Realizar auditorías internas para validar el mantenimiento, pruebas de efectividad  y redundancia a los equipos y/o componentes de la Infraestructura Física y Crítica de la ETITC.
2. Revisar y documentar  la asignación de roles y responsabilidades para gestión de usuarios con acceso  lógico, así como restricción de acceso a los datos mediante técnicas de ciberseguridad como la identificación, autenticación y autorización.
3. Realizar actividades de toma de conciencia, educación y formación en la seguridad de la información - Gestión de contraseñas a los funcionarios ETITC.
4. Identificar la infraestructura tecnológica sin apoyo y/o custodia del proceso de informática y comunicaciones, una vez identificada ver la viabilidad de incluirla en proceso.
5. Identificar áreas seguras con el fin de prevenir el acceso físico no autorizado, el daño y la intermitencia de la información. </t>
  </si>
  <si>
    <t xml:space="preserve">
A.6.3 Conciencia de seguridad de la información, educación y formación.
A.5.15 Acceso a redes y a servicios en red.
A.7.1 Perímetros de Seguridad Física
A.8.34 Protección de los sistemas de información durante las pruebas de auditoría
Seguimiento al cumplimiento del procedimiento GIC-PC-15 ASIGNACIÓN DE ACCESO A LOS SISTEMAS DE INFORMACIÓN.
</t>
  </si>
  <si>
    <t>1.  El profesional de Seguridad de la Información valida la desconexión de usuarios (retirados y/o depuración de correos) con el fin de controlar permisos de acceso o denegación de servicio.
DESVIACION DEL CONTROL
Asignar a la coordinadora de Mesa de Servicios, la creación de usuario y acceso a los sistemas de información y servicios tecnológicos.</t>
  </si>
  <si>
    <t>Posibilidad de afectación económica y pérdida  reputacional por acceso indebido o mal intencionado a  los sistemas de información de los procesos y áreas seguras de la ETITC, generando pérdida o alteración de información, debido al aumento de los niveles del crimen organizado a través de accesos físicos y lógicos.</t>
  </si>
  <si>
    <r>
      <rPr>
        <b/>
        <sz val="11"/>
        <color theme="1"/>
        <rFont val="Arial"/>
        <family val="2"/>
      </rPr>
      <t>D10 -</t>
    </r>
    <r>
      <rPr>
        <sz val="11"/>
        <color theme="1"/>
        <rFont val="Arial"/>
        <family val="2"/>
      </rPr>
      <t xml:space="preserve"> Falta de lineamientos para la asignación de roles y responsabilidades para gestión de usuarios en los sistemas de información.
</t>
    </r>
    <r>
      <rPr>
        <b/>
        <sz val="11"/>
        <color theme="1"/>
        <rFont val="Arial"/>
        <family val="2"/>
      </rPr>
      <t xml:space="preserve">D13 - </t>
    </r>
    <r>
      <rPr>
        <sz val="11"/>
        <color theme="1"/>
        <rFont val="Arial"/>
        <family val="2"/>
      </rPr>
      <t xml:space="preserve">Notificación inoportuna de novedades de usuario de servidores públicos y contratistas (Retiro, vacaciones, muerte, licencias, terminación de contrato, cesión de contrato, rotación de dependencias) al área de Informática y Comunicaciones.
</t>
    </r>
    <r>
      <rPr>
        <b/>
        <sz val="11"/>
        <color theme="1"/>
        <rFont val="Arial"/>
        <family val="2"/>
      </rPr>
      <t>D8 -</t>
    </r>
    <r>
      <rPr>
        <sz val="11"/>
        <color theme="1"/>
        <rFont val="Arial"/>
        <family val="2"/>
      </rPr>
      <t xml:space="preserve"> Desconocimiento por parte de los servidores públicos y contratistas en las técnicas de Ingeniería social (spam, phishing, fakemailing, entre otros.)
</t>
    </r>
    <r>
      <rPr>
        <b/>
        <sz val="11"/>
        <color theme="1"/>
        <rFont val="Arial"/>
        <family val="2"/>
      </rPr>
      <t xml:space="preserve">D15 - </t>
    </r>
    <r>
      <rPr>
        <sz val="11"/>
        <color theme="1"/>
        <rFont val="Arial"/>
        <family val="2"/>
      </rPr>
      <t xml:space="preserve">Manejo inadecuado de contraseñas.
</t>
    </r>
    <r>
      <rPr>
        <b/>
        <sz val="11"/>
        <color theme="1"/>
        <rFont val="Arial"/>
        <family val="2"/>
      </rPr>
      <t>A8 -</t>
    </r>
    <r>
      <rPr>
        <sz val="11"/>
        <color theme="1"/>
        <rFont val="Arial"/>
        <family val="2"/>
      </rPr>
      <t xml:space="preserve"> Ataques informáticos a infraestructura tecnológica debido a puertos de comunicación TCP/UDP no autorizados en estado abierto (sin filtrar)
</t>
    </r>
    <r>
      <rPr>
        <b/>
        <sz val="11"/>
        <color theme="1"/>
        <rFont val="Arial"/>
        <family val="2"/>
      </rPr>
      <t xml:space="preserve">D6 - </t>
    </r>
    <r>
      <rPr>
        <sz val="11"/>
        <color theme="1"/>
        <rFont val="Arial"/>
        <family val="2"/>
      </rPr>
      <t>Existencia de infraestructura tecnológica sin apoyo y/o custodia del proceso de informática y comunicaciones</t>
    </r>
  </si>
  <si>
    <t xml:space="preserve">1. Actualizar  e implementar el Plan de Contingencia, Recuperación y Retorno a la normalidad.(profesional de continuidad)
2. Realizar auditorias de acuerdo con el programa anual de auditorias de inspección técnica del SGSI.
3. Generar roles y responsabilidades frente a una ante una interrupción.
4. Realizar actividades de toma de conciencia, educación y formación en la seguridad de la información - uso de los sistemas de información en la  ETITC.
5.  Generar y socializar las estrategias y/o actividades de respuesta ante una interrupción en la prestación del servicios de la ETITC.(profesional de continuidad.)
</t>
  </si>
  <si>
    <t xml:space="preserve">
1. Reestablecer el servicio en el menor tiempo posible. 
2. Realizar el análisis técnico con el fin de identificar la causa raíz. 
3. Documentar las acciones y lecciones aprendidas. 
4. Socialización y retroalimentación al equipo responsable con el fin de sensibilizar las causas de la materialización del riesgo.</t>
  </si>
  <si>
    <t>A.5.29 Seguridad de la información durante una interrupción
A.8.13 Copias de seguridad de la información.
GSI-FO-09 Informe de Pruebas de Auditoría Técnica
Programa de Auditorias 
Soporte de Auditorias Técnicas a los proveedores 
Plan de Pruebas de Continuidad
A.8.34 Protección de los sistemas de información durante las pruebas de auditoría</t>
  </si>
  <si>
    <t xml:space="preserve">1. El profesional de  continuidad de servicio controla las medidas concretas para restablecer la disponibilidad de la información en unos plazos identificados mediante unos planes de respuesta ante emergencias que tengan en cuenta la organización y sus recursos en el marco del Plan de continuidad del servicio.
DESVIACIÓN DEL CONTROL
Activar planes de contingencia por parte del responsable 
2. El profesional de seguridad de la información realiza auditorías a la Infraestructura tecnológica Crítica, y realiza el control de cumplimiento a través de programa de auditorías 
DESVIACIÓN DEL CONTROL
El líder de informática y telecomunicaicones realiza seguimiento al plan de mantenimiento a la infraestructura tecnológica </t>
  </si>
  <si>
    <t xml:space="preserve">Servicios, Software, Hardware </t>
  </si>
  <si>
    <t>Posibilidad de afectación económica y pérdida  reputacional por indisponibilidad de los procesos críticos de la ETITC, debido a interrupciones del servicio por cortes de electricidad, fallos de hardware, daños  de los sistemas de climatización del datacenter y daño y/o descarga de las baterías del equipo UPS, daños provocados por mal funcionamiento de los equipos tecnológicos, ataques cibernéticos, desastres naturales, hurto de infraestructura y actos de vandalismo contra las redes de telecomunicaciones.</t>
  </si>
  <si>
    <t>Desastre natural y/o Desastre causado por el hombre</t>
  </si>
  <si>
    <t>D14 - Ausencia y/o desactualización del Plan de Contingencia, Planes de Recuperación de Desastres (DRP), Objetivo de punto de recuperación (RPO) y de objetivo de tiempo de recuperación (RTO) y Retorno a la normalidad
D4 - Falta de mantenimiento a la Infraestructura Crítica y Física: Cableado Estructurado, Racks, Aires Acondicionados, Sistemas de Extinción de Incendios, Sistema de Alerta Sísmica, UPS y Plantas eléctricas y Sistema de Protección contra descargas Eléctricas Atmosféricas
D12 - Falta de respaldo de personas para el desarrollo de actividades críticas en los casos que se presente incapacidades, vacaciones, muerte, licencias, entre otros
D11 - Falta de apropiación de los procesos, procedimientos y uso de los sistemas de información de la Escuela por parte de los servidores públicos y contratistas.
A9 - Falta de respuesta ante una interrupción en la prestación del servicios de proveedores hacia la ETITC.</t>
  </si>
  <si>
    <t xml:space="preserve">
5. Identificar los puertos de comunicación TCP/UDP no autorizados en estado abierto y asegurar las operaciones correctas y seguras de los mismos.</t>
  </si>
  <si>
    <t xml:space="preserve">
A.8.8 Gestión de las Vulnerabilidades Ténicas
A.8.21 Seguridad de los servicios de red.
A.6.8 Informes de eventos de seguridad de la información
A.8.12 Prevención de fuga de datos
GSI-FO-06 Reporte de eventos e incidentes de seguridad de la información </t>
  </si>
  <si>
    <t>4. El profesional de Seguridad de la Información desarrolla actividades de vulnerabilidad técnica a la infraestructura tecnológica para encontrar vulnerabilidades y fallos de seguridad, mitigarlos a la brevedad posible y evitar fugas de información y ataques informáticos.
DESVIACION DEL CONTROL
Solicitar a los proveedores de servicio, incluir entrenamiento para fortalecimiento de las competencias.</t>
  </si>
  <si>
    <r>
      <rPr>
        <b/>
        <sz val="11"/>
        <color theme="1"/>
        <rFont val="Arial"/>
        <family val="2"/>
      </rPr>
      <t>A4 -</t>
    </r>
    <r>
      <rPr>
        <sz val="11"/>
        <color theme="1"/>
        <rFont val="Arial"/>
        <family val="2"/>
      </rPr>
      <t xml:space="preserve"> Incremento en la fabricación y diseminación de virus en el internet.
</t>
    </r>
    <r>
      <rPr>
        <b/>
        <sz val="11"/>
        <color theme="1"/>
        <rFont val="Arial"/>
        <family val="2"/>
      </rPr>
      <t>A3 -</t>
    </r>
    <r>
      <rPr>
        <sz val="11"/>
        <color theme="1"/>
        <rFont val="Arial"/>
        <family val="2"/>
      </rPr>
      <t xml:space="preserve"> Incremento en la presencia de ataques de ramsonware de alto perfil en Colombia.</t>
    </r>
  </si>
  <si>
    <t xml:space="preserve">
4. Realizar actividades de vulnerabilidad técnica aplicando buenas practicas OWAS y NIST y actualizar las políticas a cada unos de los sistemas de información.
</t>
  </si>
  <si>
    <t xml:space="preserve">
A.5.15 Acceso a redes y a servicios en red.
A.7.13 Mantenimiento de equipos.
A.8.21 Seguridad de los servicios de red.
Soporte de Auditorias Técnicas a los proveedores </t>
  </si>
  <si>
    <t>3. El profesional del proceso de  Gestión de Informática y comunicaciones, realiza seguimiento al Plan de Mantenimiento  del DataCenter, ejecutando las actividades necesarias para mantener correctamente su disponibilidad e integridad continua de la infraestructura tecnológica.
DESVIACION DEL CONTROL
Solicitar a los proveedores de servicio, incluir entrenamiento para fortalecimiento de las competencias.</t>
  </si>
  <si>
    <r>
      <rPr>
        <b/>
        <sz val="11"/>
        <color theme="1"/>
        <rFont val="Arial"/>
        <family val="2"/>
      </rPr>
      <t>A8 -</t>
    </r>
    <r>
      <rPr>
        <sz val="11"/>
        <color theme="1"/>
        <rFont val="Arial"/>
        <family val="2"/>
      </rPr>
      <t xml:space="preserve"> Ataques informáticos a infraestructura tecnológica debido a puertos de comunicación TCP/UDP no autorizados en estado abierto (sin filtrar)
</t>
    </r>
  </si>
  <si>
    <t>2. Realizar actividades de toma de conciencia, educación y formación en la seguridad de la información a los funcionarios ETITC.
3.  Sensibilizar al personal de Gestión de Informática y Comunicaciones que aporta a la implementación de los controles técnicos de Seguridad de la Información.</t>
  </si>
  <si>
    <t xml:space="preserve">
A.6.3 Conciencia de seguridad de la información, educación y formación.
Plan de Sensibilización y Entrenamiento
</t>
  </si>
  <si>
    <t>2. El profesional de Seguridad de la Información incluye en su Plan de Sensibilización y Entrenamiento talleres y capacitaciones para fortalecer la competencia y formación de los funcionarios.
DESVIACION DEL CONTROL
Solicitar a los proveedores de servicio, incluir entrenamiento para fortalecimiento de las competencias.</t>
  </si>
  <si>
    <r>
      <rPr>
        <b/>
        <sz val="11"/>
        <color theme="1"/>
        <rFont val="Arial"/>
        <family val="2"/>
      </rPr>
      <t>D5 -</t>
    </r>
    <r>
      <rPr>
        <sz val="11"/>
        <color theme="1"/>
        <rFont val="Arial"/>
        <family val="2"/>
      </rPr>
      <t xml:space="preserve"> Falta de conocimientos del personal de Gestión de Informática y Comunicaciones que aporta a la implementación de controles técnicos de Seguridad de la Información.
</t>
    </r>
    <r>
      <rPr>
        <b/>
        <sz val="11"/>
        <color theme="1"/>
        <rFont val="Arial"/>
        <family val="2"/>
      </rPr>
      <t>D8 -</t>
    </r>
    <r>
      <rPr>
        <sz val="11"/>
        <color theme="1"/>
        <rFont val="Arial"/>
        <family val="2"/>
      </rPr>
      <t xml:space="preserve"> Desconocimiento por parte de los servidores públicos y contratistas en las técnicas de Ingeniería social (spam, phishing, fakemailing, entre otros.)</t>
    </r>
  </si>
  <si>
    <t xml:space="preserve">1. Ver la viabilidad de incluir en el plan anual de adquisición (PAA)  un  software especializado que permita hacer seguimiento de análisis de vulnerabilidades, realizar pruebas de penetración, auditoría de redes y a sistemas de información.
</t>
  </si>
  <si>
    <t xml:space="preserve">
1. Reestablecer el servicio en el menor tiempo posible.
2. Realizar el análisis técnico con el fin de identificar la causa raíz.
3. Documentar las acciones y lecciones aprendidas.
4. Socialización y retroalimentación al equipo responsable con el fin de sensibilizar las causas de la materialización del riesgo.</t>
  </si>
  <si>
    <t>A.5.8 Seguridad de la Información en la Gestión de Proyectos
Plan Anual de Adquisiciones</t>
  </si>
  <si>
    <t>1. El profesional de Seguridad de la Información incluirá en su Plan Anual de Adquisiciones herramientas y/o renovaciones de software especializado.
DESVIACION DEL CONTROL
Recomendar a la Alta Dirección la adquisición de software especializado.</t>
  </si>
  <si>
    <t>Posibilidad de afectación económica y pérdida reputacional por indisponibilidad de la infraestructura que soporta los servicios y activos de información de TI de la ETITC, debido a ataques cibernéticos o denegación de servicios - sabotaje</t>
  </si>
  <si>
    <t xml:space="preserve">Ataques  o denegación de servicios - sabotaje 
</t>
  </si>
  <si>
    <r>
      <rPr>
        <b/>
        <sz val="11"/>
        <color theme="1"/>
        <rFont val="Arial"/>
        <family val="2"/>
      </rPr>
      <t>D3 -</t>
    </r>
    <r>
      <rPr>
        <sz val="11"/>
        <color theme="1"/>
        <rFont val="Arial"/>
        <family val="2"/>
      </rPr>
      <t xml:space="preserve"> Falta de software especializado que permitan hacer seguimiento de análisis de vulnerabilidades, realizar pruebas de penetración, auditoría de redes y a sistemas de información.
</t>
    </r>
    <r>
      <rPr>
        <b/>
        <sz val="11"/>
        <color theme="1"/>
        <rFont val="Arial"/>
        <family val="2"/>
      </rPr>
      <t xml:space="preserve">D16 - </t>
    </r>
    <r>
      <rPr>
        <sz val="11"/>
        <color theme="1"/>
        <rFont val="Arial"/>
        <family val="2"/>
      </rPr>
      <t>Falta de presupuesto para la renovación de la infraestructura tecnológica, lo que genera contar con infraestructura obsoleta e incompatibilidad con nuevas tecnologías.</t>
    </r>
  </si>
  <si>
    <t xml:space="preserve">Plan de Contingencia </t>
  </si>
  <si>
    <t>Subcausas de la causa raiz</t>
  </si>
  <si>
    <t>Amenazas</t>
  </si>
  <si>
    <t>CAUSA (VULNERABILIDADES)</t>
  </si>
  <si>
    <t xml:space="preserve">Seguridad de la Infromacion </t>
  </si>
  <si>
    <t>Atributos</t>
  </si>
  <si>
    <t>Soportes del Control</t>
  </si>
  <si>
    <t>Aplica para todos los procesos misionales, estratégicos, de apoyo y evaluación, definidos y aprobados por el Sistema de Gestión de Calidad (SGC) de la ETITC.</t>
  </si>
  <si>
    <t>Planear, implementar, evaluar y mejorar continuamente el Sistema de Gestión de Seguridad de la Información (SGSI) y el Modelo de Seguridad y Privacidad de la Información (MSPI), de Gobierno en Línea (GEL), garantizando con esto, la preservación de la
confidencialidad, integridad y disponibilidad de los activos de información de la Escuela Tecnológica Instituto Técnico Central (ETITC), mediante actividades de análisis y valoración de riesgos.</t>
  </si>
  <si>
    <t>SISTEMA DE GESTION DE SEGURIDAD DE LA INFORMACION</t>
  </si>
  <si>
    <t>Gestión Ambiental</t>
  </si>
  <si>
    <t>Promover una gestión ambiental institucional responsable que propenda por alcanzar paulatinamente una sostenibilidad ambiental en cumplimiento de la normatividad ambiental vigente aplicable y la prevención de impactos ambientales en el área de influencia directa de la ETITC.</t>
  </si>
  <si>
    <t xml:space="preserve">Abarca todos los procesos estratégicos, misionales y de apoyo de la institución y todas aquellas actividades que sean ejecutadas dentro de las instalaciones que administre la ETITC. </t>
  </si>
  <si>
    <t>A4 - La legislación en Colombia es muy amplia y variable y esta no cuenta con mecanismos de divulgación eficientes.</t>
  </si>
  <si>
    <t>Fallas en la actualización e identificación de requisitos legales por acumulación de tareas de la persona encargada del SGA.</t>
  </si>
  <si>
    <t>Posibilidad de afectación económica y reputacional por multas o sanciones a la entidad, debido al incumplimiento de requisitos legales asociados a la gestión de los aspectos ambientales de las actividades desarrolladas por la ETITC.</t>
  </si>
  <si>
    <t>El profesional encargado del SGA identifica los requisitos legales ambientales aplicables a la entidad y verifica su cumplimiento con base en la metodología establecida en el procedimiento GAM-PC-02 Identificación, Actualización y Verificación de Cumplimiento Legal Ambiental, dejando registro en el formato GAM-FO-12 MATRIZ DE REQUISITOS LEGALES.
En caso de identificarse incumplimiento se deberá informar al CIGD.</t>
  </si>
  <si>
    <t xml:space="preserve">GAM-FO-12 MATRIZ DE REQUISITOS LEGALES actualizada una vez por semestre.
Acta de CIGD en el que se socialicen los incumplimientos legales cuando aplique
</t>
  </si>
  <si>
    <t xml:space="preserve">GAM-FO-12 MATRIZ DE REQUISITOS LEGALES </t>
  </si>
  <si>
    <t>1. Actualizar la matriz de requisitos legales usando el formato GAM-FO-12 una vez al semestre.
2. Si hay incumplimiento se presenta al CIGD.</t>
  </si>
  <si>
    <t>Profesional de Gestión Ambiental o quien haga sus veces</t>
  </si>
  <si>
    <t>D14 - Reportes extemporáneo a los entes de control debido a demoras en el reporte y consolidación de la información requerida por la normatividad legal vigente.</t>
  </si>
  <si>
    <t>No se ha establecido en la programación de actividades, la priorización para el reporte de información a entes de control.</t>
  </si>
  <si>
    <t xml:space="preserve">El profesional encargado del SGA debe documentar todos los tramites ambientales que requieren de reporte a entes de control identificando las fechas máximas para el reporte, la fuente de información y gestionar el reporte con las áreas generadoras para su consolidación. </t>
  </si>
  <si>
    <t>Registro de la programación de actividades asociadas al cumplimiento de requisitos legales en el formato GAM-FO-19 seguimiento a programas ambientales.
Documento que permita identificar el requisito legal asociado al reporte de información, la entidad que recibe el reporte, la forma en que se reporta, la fuente de información y la frecuencia de reporte.
Correo electrónico dirigido a las áreas generadoras de la información solicitando los soportes del cumplimiento del requisito ambiental asociado.</t>
  </si>
  <si>
    <t>GAM-FO-19</t>
  </si>
  <si>
    <t>Documentar en el formato GAM-FO-19 Seguimiento a Programas Ambientales las actividades relacionadas con el reporte de información a Entes de Control</t>
  </si>
  <si>
    <t>D7 - Fallas en la asignación de recursos para la implementación de los requisitos legales ambientales que aplican a la ETITC.</t>
  </si>
  <si>
    <t>Desconocimiento de los impactos asociados al incumplimiento legal ambiental</t>
  </si>
  <si>
    <t>El profesional de Gestión Ambiental o quien haga sus veces deberá informar a la Alta Dirección las consecuencias del incumplimiento de Requisitos Legales Ambientales.
Dicha comunicación se deberá hacer en conjunto con los requisitos identificados que estén en incumplimiento.</t>
  </si>
  <si>
    <t>Acta de CIGD en el que se socialicen los incumplimientos legales y sus consecuencias cuando aplique</t>
  </si>
  <si>
    <t>Acta del CIGD donde conste la socialización de las consecuencias por el incumplimiento de requisitos legales ambientales</t>
  </si>
  <si>
    <t>D12 - No se cuenta con personal de apoyo para desarrollar actividades del SGA para atender las necesidades de la institución en materia de sostenibilidad ambiental</t>
  </si>
  <si>
    <t>No hay asignación de presupuesto asignado para la contratación de personal de apoyo al SGA</t>
  </si>
  <si>
    <t>El profesional de Gestión Ambiental deberá incluir la necesidad de la contratación en el Plan Anual de necesidades y remitirlo a la oficina de Planeación en los tiempos que esta establezca</t>
  </si>
  <si>
    <t>Correo electrónico donde se remite el Plan de Necesidades solicitando la contratación del personal de apoyo</t>
  </si>
  <si>
    <t>Enviar mediante correo electrónico el plan de necesidades del área al la OAP</t>
  </si>
  <si>
    <t>GESTIÓN DE SEGURIDAD Y SALUD EN EL TRABAJO</t>
  </si>
  <si>
    <t>Planear, implementar, evaluar y mejorar continuamente el Sistema de Gestión de Seguridad y Salud en el Trabajo (SGSST), garantizando con esto, la prevención de accidentes y enfermedades laborales de la Escuela Tecnológica Instituto Técnico Central (ETITC) mediante la identificación de los peligros y valoración de los riesgos ocupacionales</t>
  </si>
  <si>
    <t>Aplica para todas las actividades ejecutadas en la Escuela Tecnológica Instituto Técnico Central (ETITC) y en su nombre, cubriendo a todos los trabajadores independiente de su modalidad de contratación.</t>
  </si>
  <si>
    <t>Incumplimiento a la norma: Decreto 1072/2015 Artículo 2.2.4.6.25, numeral 11
Decreto 2157 de 2017.
Resolución 0256 de 2014</t>
  </si>
  <si>
    <t>Incumplimiento gestion de prevención, preparación y respuesta ante emergencias, brigada de emergencias, plan de emergencias</t>
  </si>
  <si>
    <t>Posibilidad de afectación económica y reputacional por desconocimiento en actuación en caso de emergencias 
Multas</t>
  </si>
  <si>
    <t xml:space="preserve">Gestionar la creación de una Brigada: capacitada y dotada, la brigada de prevención, preparación y respuesta ante emergencias.
 </t>
  </si>
  <si>
    <t xml:space="preserve"> Acta conformación brigada
Mapas de evacuación actualizados</t>
  </si>
  <si>
    <t xml:space="preserve">Conformación brigada emergencias </t>
  </si>
  <si>
    <t>Profesional de Gestión del Talento Humano - Líder del proceso de SST</t>
  </si>
  <si>
    <t>Actualizacion del docuento plan de emergencias</t>
  </si>
  <si>
    <t>Auditoria y seguimiento al plan de capacitación de las Brigadas</t>
  </si>
  <si>
    <t xml:space="preserve">Plan de capacitación y entrenamiento brigadas </t>
  </si>
  <si>
    <t>Solicitar recursos para dotación brigadistas</t>
  </si>
  <si>
    <t>y Soporte del plan de compras y entregas de implementos y EPP para Brigadistas</t>
  </si>
  <si>
    <t xml:space="preserve">Entrega elementos de Dotacion personal brigadistas </t>
  </si>
  <si>
    <t xml:space="preserve">Incumplimiento a la norma: Resolución 2346 de 2007 capitulo II 
Decreto 1072/2015 Artículo 2.2.4.6.24, numeral 05 PARAGRAFO 3 </t>
  </si>
  <si>
    <t xml:space="preserve">Omisio proceso contractual prestación de servicio médico por parte de institución de salud especialista en seguridad y salud en el trabajo  </t>
  </si>
  <si>
    <t>Posibilidad de afectación económica y reputacional por ingreso de personal con morbilidades de origen laboral y/o presencia de algun tipo de patología sin detectar de manera preventiva en los colaboradores de la escuela</t>
  </si>
  <si>
    <t xml:space="preserve">Ejecutar contrato de prestación de servicios profesionales en examenes medicos ocupacionales </t>
  </si>
  <si>
    <t xml:space="preserve">Contrato prestación de servicios médicos especialistas en salud ocupacional </t>
  </si>
  <si>
    <t xml:space="preserve">Efectuar contratación con Institucion prestadora de servicios de salud especiaistas en seguridad y salud en el trabajo </t>
  </si>
  <si>
    <t>1. Evaluación médica preocupacional o de preingreso.
2. Evaluaciones médicas ocupacionales periódicas (programadas o por cambios de ocupación).
3. Evaluación médica posocupacional o de egreso.
4. Profesiograma
5. Diagnostico condiciones de salud</t>
  </si>
  <si>
    <t xml:space="preserve">Conceptos médicos de acuerdo al tipo de examen médico a practicar </t>
  </si>
  <si>
    <t xml:space="preserve">Practicar examenes medicos </t>
  </si>
  <si>
    <t>Incumplimiento al desarrollo de actividades pactadas en el plan de gestión para el año y a los Decreto 1072/2015, Artículo 2.2.4.6.8. numeral 4, Artículo 2.2.4.6.17 numeral 2,5</t>
  </si>
  <si>
    <t>Falta de Recurso Humano Suficiente para suplir las necesidades y labores a desarrollar para el pleno cumplimiento y desarrollo el sistema</t>
  </si>
  <si>
    <t>Posibilidad de afectación económica y reputacional por menor cobertura en la gestión de seguridad y salud en el trabajo</t>
  </si>
  <si>
    <t xml:space="preserve">Gestionar la asignación de recurso humano como apoyo para la gestión de seguridad y salud en el trabajo </t>
  </si>
  <si>
    <t xml:space="preserve">Recurso humano de apoyo al área de SST </t>
  </si>
  <si>
    <t>Poner en conocimiento del profesional de Gestión la insuficiencia del recurso financiero a fin de gestionar el recurso</t>
  </si>
  <si>
    <r>
      <rPr>
        <b/>
        <sz val="14"/>
        <rFont val="Arial"/>
        <family val="2"/>
      </rPr>
      <t>LÍDER DEL PROCESO:</t>
    </r>
    <r>
      <rPr>
        <sz val="14"/>
        <rFont val="Arial"/>
        <family val="2"/>
      </rPr>
      <t xml:space="preserve">  Andrés Orduz Nivia</t>
    </r>
  </si>
  <si>
    <t>2SI</t>
  </si>
  <si>
    <t>3SI</t>
  </si>
  <si>
    <t>4SI</t>
  </si>
  <si>
    <t>5SI</t>
  </si>
  <si>
    <t>6SI</t>
  </si>
  <si>
    <t>1SST</t>
  </si>
  <si>
    <t>2SST</t>
  </si>
  <si>
    <t>3SST</t>
  </si>
  <si>
    <t>1GA</t>
  </si>
  <si>
    <t>1GC</t>
  </si>
  <si>
    <t>2GC</t>
  </si>
  <si>
    <t>3GC</t>
  </si>
  <si>
    <t>4GC</t>
  </si>
  <si>
    <r>
      <t xml:space="preserve">El líder del proceso generara informes trimestrales sobre la evaluación de prestación del servicio
</t>
    </r>
    <r>
      <rPr>
        <b/>
        <sz val="10"/>
        <color rgb="FFFF0000"/>
        <rFont val="Arial"/>
        <family val="2"/>
      </rPr>
      <t>Desviación del control</t>
    </r>
    <r>
      <rPr>
        <sz val="10"/>
        <color rgb="FFFF0000"/>
        <rFont val="Arial"/>
        <family val="2"/>
      </rPr>
      <t xml:space="preserve">
Reportar a la información al proceso documental para que consolide la información de prestación del servicio con PQRSD</t>
    </r>
  </si>
  <si>
    <t xml:space="preserve">Clasificación del riesgo </t>
  </si>
  <si>
    <t>Plan de acción (solo para la opción reducir)</t>
  </si>
  <si>
    <t>Daños Activos Físicos</t>
  </si>
  <si>
    <t>Fallas Tecnológicas</t>
  </si>
  <si>
    <r>
      <t>14.	Tipología de riesgos que enmarcan la política de administración del riesgo</t>
    </r>
    <r>
      <rPr>
        <b/>
        <sz val="11"/>
        <color rgb="FFFF9900"/>
        <rFont val="Calibri"/>
        <family val="2"/>
        <scheme val="minor"/>
      </rPr>
      <t xml:space="preserve"> (Tipo de Riesgo  (Clasificación))</t>
    </r>
  </si>
  <si>
    <r>
      <t xml:space="preserve">6.4.	 Identificación de áreas de factores de riesgo </t>
    </r>
    <r>
      <rPr>
        <b/>
        <sz val="11"/>
        <color rgb="FFFF9900"/>
        <rFont val="Calibri"/>
        <family val="2"/>
        <scheme val="minor"/>
      </rPr>
      <t>(Factor)</t>
    </r>
  </si>
  <si>
    <t>1SI</t>
  </si>
  <si>
    <t>Gestión de Autoevaluación</t>
  </si>
  <si>
    <t>Lograr la autorregulación que permita el aseguramiento de la calidad de los programas académicos y de la institución, para el diseño de planes de mejoramiento continuo que direccionen la planeación institucional.</t>
  </si>
  <si>
    <t>Desde la planeación de la autoevaluación hasta la generación de informes para el registro calificado de los programas, acreditación de alta calidad de los programas e institucional.</t>
  </si>
  <si>
    <t>Pérdida de registro calificado e inactivación de los programas académicos.</t>
  </si>
  <si>
    <t>Carencia de procesos de autoevaluación sistemáticos que permita medir y hacer seguimiento en tiempo real la calidad y pertinencia de los programas académicos y de la institución.</t>
  </si>
  <si>
    <t>Posibilidad de afectación reputacional debido a pérdida de registro calificado e inactivación de los programas académicos.por carencia de procesos de autoevaluación sistemáticos que permitan medir y hacer seguimiento en tiempo real la calidad y pertinencia de los programas académicos y de la institución.</t>
  </si>
  <si>
    <r>
      <t xml:space="preserve">El líder del proceso cada dos (2) años, desarrollará el cronograma de autoevaluación y realizará seguimiento anualmente a la ejecución del mismo, con el fin de garantizar la continuidad de vigencias y reconocimientos del Ministerio de Educación Nacional.
</t>
    </r>
    <r>
      <rPr>
        <b/>
        <sz val="10"/>
        <rFont val="Arial"/>
        <family val="2"/>
      </rPr>
      <t>Desviacion del control</t>
    </r>
    <r>
      <rPr>
        <sz val="10"/>
        <color theme="1"/>
        <rFont val="Arial"/>
        <family val="2"/>
      </rPr>
      <t xml:space="preserve">
En caso de identificar en el seguimiento que el cronograma se ha incumplido, el líder del proceso informará al Comité de Autoevaluación y Autorregulación, para que se tomen las decisiones de contingencia pertinentes</t>
    </r>
  </si>
  <si>
    <t>Cronograma de autoevaluación y evidencias de ejecución.
Decreto vigente y su seguimiento
Registros en plataforma de SACES
Registro de asistencia a capacitación.
Videos
Correos electrónicos</t>
  </si>
  <si>
    <t>Guía número dos para registros calificados.
Plantilla de cargue de nuevos SACES.</t>
  </si>
  <si>
    <t>Capacitar a la comunidad académico administrativa para la interpretación de la norma, y proceso de autoevaluación haciendo uso de material POP, u otras herramientas que proporcionen recordación</t>
  </si>
  <si>
    <t>Líder del proceso</t>
  </si>
  <si>
    <t>Incumplimiento con la radicación de condiciones iniciales como primer requisito para la acreditación institucional atrasando el cumplimiento de este objetivo estratégico</t>
  </si>
  <si>
    <t>Falta de compromiso por los actores del proceso en el desarrollo de la documentación y evidencias</t>
  </si>
  <si>
    <t>Posibilidad de afectación reputacional por incumplimiento con la radicación de condiciones iniciales como primer requisito para la acreditación institucional atrasando el cumplimiento de este objetivo estratégico debido a la falta de compromiso por los actores del proceso en el desarrollo de la documentación y evidencias</t>
  </si>
  <si>
    <r>
      <t xml:space="preserve">El equipo de Autoevaluación semestralmente valorará el conocimiento de los equipos administrativos sobre los lineamientos y solicitará la información a las áreas respectivas para consolidar en el documento institucional y radicar condiciones ante el Ministerio de Educación Nacional, con el fin de cumplir los plazos establecidos para la Acreditación Institucional de Alta Calidad.
</t>
    </r>
    <r>
      <rPr>
        <b/>
        <sz val="10"/>
        <color theme="1"/>
        <rFont val="Arial Narrow"/>
        <family val="2"/>
      </rPr>
      <t>Desviacion del control</t>
    </r>
    <r>
      <rPr>
        <sz val="10"/>
        <color theme="1"/>
        <rFont val="Arial Narrow"/>
        <family val="2"/>
      </rPr>
      <t xml:space="preserve">
En caso de que el área responsable no remita los insumos requeridos, el líder del proceso de Autoevaluación informará al Comité de Autoevaluación y Autorregulación, para que se tomen las decisiones de contingencia pertinentes.</t>
    </r>
  </si>
  <si>
    <t>Correos electrónicos
documento de condiciones iniciales
Registro en plataforma</t>
  </si>
  <si>
    <t>No se encuentra documentado</t>
  </si>
  <si>
    <t>Capacitar a la comunidad académico administrativa para la interpretación de la norma, haciendo uso de material POP, u otras herramientas que proporcionen recordación</t>
  </si>
  <si>
    <t>Incumplimiento en la recolección y radicación de información al ente competente para la renovación de la acreditación de programas</t>
  </si>
  <si>
    <t>Falta de compromiso en las decanaturas (sistemas, electromecánica, procesos industriales y mecatrónica) y las áreas administrativas que aportan en la evidencia del cumplimiento de alta calidad.</t>
  </si>
  <si>
    <t>Posibilidad de afectación reputacional por el incumplimiento en la recolección y radicación de información al ente competente para la renovación de la acreditación de programas debido a la falta de compromiso en las decanaturas (sistemas, electromecánica, procesos industriales y mecatrónica) y las áreas administrativas que aportan en la evidencia del cumplimiento de alta calidad.</t>
  </si>
  <si>
    <t>El equipo de Autoevaluación semestralmente valorará el conocimiento de las Decanaturas y equipos administrativos sobre los lineamientos y solicitará la información a las áreas respectivas para consolidar en el documento institucional y radicar condiciones ante el Ministerio de Educación Nacional, con el fin de cumplir los plazos establecidos para la renovación de registros calificados.
En caso de que el área responsable no remita los insumos requeridos, el líder del proceso de Autoevaluación informará al Comité de Autoevaluación y Autorregulación, para que se tomen las decisiones de contingencia pertinentes.</t>
  </si>
  <si>
    <t>Informe de autoevaluación por decanatura</t>
  </si>
  <si>
    <t>GDA-PC-02 Registro Calificado nuevo o en renovación</t>
  </si>
  <si>
    <t>Desarrollar mesas de trabajo con la comunidad administrativa y Decanaturas</t>
  </si>
  <si>
    <t>Pérdida de la cultura de autoevaluación en las áreas administrativas y académicas</t>
  </si>
  <si>
    <t>Baja adopción de los requisitos del modelo de autoevaluación</t>
  </si>
  <si>
    <t>Posibilidad de afectación reputacional por pérdida de la cultura de autoevaluación en las áreas administrativas y académicas debido a la baja adopción de los requisitos del modelo de autoevaluación</t>
  </si>
  <si>
    <t>El área de Autoevaluación semestralmente desarrollará etapas de adopción a las áreas frente el proceso de autoevaluación y el aporte de cada actor en el proceso, así como medir el nivel de cumplimiento de entregables de las áreas pertinentes en el proceso de autoevaluación, con el fin de apropiar la cultura de la calidad.
Como decisión sobre la desviación, la líder del proceso de Autoevaluación desarrollará mesas de trabajo con el profesional de Aseguramiento de la Calidad, para definir acciones de contingencia.</t>
  </si>
  <si>
    <t>Correos electrónicos
Registro fotográfico
Lista de asistencias</t>
  </si>
  <si>
    <r>
      <rPr>
        <b/>
        <sz val="14"/>
        <rFont val="Arial"/>
        <family val="2"/>
      </rPr>
      <t>LIDER DEL PROCESO:</t>
    </r>
    <r>
      <rPr>
        <sz val="14"/>
        <rFont val="Arial"/>
        <family val="2"/>
      </rPr>
      <t xml:space="preserve"> MARITZA ZABALA HUERTAS</t>
    </r>
  </si>
  <si>
    <t>1AU</t>
  </si>
  <si>
    <t>2AU</t>
  </si>
  <si>
    <t>3AU</t>
  </si>
  <si>
    <t>4AU</t>
  </si>
  <si>
    <t>N/A</t>
  </si>
  <si>
    <t xml:space="preserve">Hardware </t>
  </si>
  <si>
    <t xml:space="preserve">Red </t>
  </si>
  <si>
    <t xml:space="preserve">Información </t>
  </si>
  <si>
    <t xml:space="preserve">Personal </t>
  </si>
  <si>
    <t xml:space="preserve">Organización </t>
  </si>
  <si>
    <t xml:space="preserve">Guia </t>
  </si>
  <si>
    <t xml:space="preserve">Para la fecha del seguimento se evidencia en informe de revision por la direccion presentado en el comité de gestion y desempeño para aprobacion de la alta direccion </t>
  </si>
  <si>
    <r>
      <t xml:space="preserve">El profesional responsable da calidad debe solicitar los insumos, consolidar y validar la información para elaborar el informe de revisión por la dirección.
</t>
    </r>
    <r>
      <rPr>
        <b/>
        <sz val="10"/>
        <color theme="1"/>
        <rFont val="Arial"/>
        <family val="2"/>
      </rPr>
      <t>Desviación del control</t>
    </r>
  </si>
  <si>
    <r>
      <t xml:space="preserve">El profesional responsable da calidad debe realizar seguimiento y revisión de los informes de auditoria 
</t>
    </r>
    <r>
      <rPr>
        <b/>
        <sz val="10"/>
        <color theme="1"/>
        <rFont val="Arial"/>
        <family val="2"/>
      </rPr>
      <t>Desviación del control</t>
    </r>
    <r>
      <rPr>
        <sz val="10"/>
        <color theme="1"/>
        <rFont val="Arial"/>
        <family val="2"/>
      </rPr>
      <t xml:space="preserve">
Solicitar por correo institucional los avances de los informes </t>
    </r>
  </si>
  <si>
    <r>
      <t xml:space="preserve">El profesional responsable da calidad debe realizar el seguimiento a la formulación de los planes de mejora producto de las auditorias internas 
</t>
    </r>
    <r>
      <rPr>
        <b/>
        <sz val="10"/>
        <color theme="1"/>
        <rFont val="Arial"/>
        <family val="2"/>
      </rPr>
      <t>Desviación del control</t>
    </r>
    <r>
      <rPr>
        <sz val="10"/>
        <color theme="1"/>
        <rFont val="Arial"/>
        <family val="2"/>
      </rPr>
      <t xml:space="preserve">
Solicitar avances por correo electrónico </t>
    </r>
  </si>
  <si>
    <r>
      <t xml:space="preserve">El profesional responsable da calidad  debe realizar acompañamiento a los lideres de procesos  o monitoreo de riesgos
</t>
    </r>
    <r>
      <rPr>
        <b/>
        <sz val="10"/>
        <color theme="1"/>
        <rFont val="Arial"/>
        <family val="2"/>
      </rPr>
      <t xml:space="preserve">Desviación del control </t>
    </r>
    <r>
      <rPr>
        <sz val="10"/>
        <color theme="1"/>
        <rFont val="Arial"/>
        <family val="2"/>
      </rPr>
      <t xml:space="preserve">
Solicitar los seguimientos que realizan desde planeación </t>
    </r>
  </si>
  <si>
    <r>
      <t xml:space="preserve">El profesional responsable da calidad  brindara acompañamiento para la revisión e identificación de riesgos a solicitud de los lideres de proceos 
</t>
    </r>
    <r>
      <rPr>
        <b/>
        <sz val="11"/>
        <color theme="1"/>
        <rFont val="Arial Narrow"/>
        <family val="2"/>
      </rPr>
      <t>Desviación del control</t>
    </r>
    <r>
      <rPr>
        <sz val="11"/>
        <color theme="1"/>
        <rFont val="Arial Narrow"/>
        <family val="2"/>
      </rPr>
      <t xml:space="preserve">
Solicitar la información para analizarla e incluirla en el mapa de riesgos </t>
    </r>
  </si>
  <si>
    <r>
      <t xml:space="preserve">El profesional responsable de calidad debe generar los  informes trimestrales para la evaluación de prestación del servicio
</t>
    </r>
    <r>
      <rPr>
        <b/>
        <sz val="10"/>
        <color theme="1"/>
        <rFont val="Arial"/>
        <family val="2"/>
      </rPr>
      <t>Desviación del control</t>
    </r>
    <r>
      <rPr>
        <sz val="10"/>
        <color theme="1"/>
        <rFont val="Arial"/>
        <family val="2"/>
      </rPr>
      <t xml:space="preserve">
Reportar a la información al proceso documental para que consolide la información de prestación del servicio con PQRSD</t>
    </r>
  </si>
  <si>
    <t>Para la fecha de seguimiento se encuentran cargados en kawak todos los planes de mejora resultado de las auditorias internas realizadas en la vigencia 20241</t>
  </si>
  <si>
    <t xml:space="preserve">Para la fecha del seguimento se evidencio el seguimiento a la gestion de los planes de mejora de los proceos : Talento Humano, Adquisiciones, Docencia IBTI, Bienestar universitario, </t>
  </si>
  <si>
    <t xml:space="preserve">Con Registro </t>
  </si>
  <si>
    <t>Fecha: 2025/07/14</t>
  </si>
  <si>
    <t>LIDER DEL PROCESO:    Ing. Angela A. Pulido R.</t>
  </si>
  <si>
    <t>5, Implementacion de una politica que garantice la creación, actualización y conservación  protección de datos personales y el reporte de bases de datos ante la SIC, asignando responsables, plazos y mecanismos de verificación periódica.</t>
  </si>
  <si>
    <t>GSI-DO-02 SOA (documento interno privado)
A5.34 Privacidad y protección de la información de identificación personal (PII)
Política de privacidad y protección de la información de identificación personal.
GSI-PL-01 Sensibilización y Entrenamiento
Evidencia de apropiación de conocimiento a los funcionarios post capacitación</t>
  </si>
  <si>
    <t>5.  El profesional de Continuidad del servicio en conjunto con el profesional de Habeas data elaboran una política institucional de ciberseguridad, lineamientos de protección de datos personales y el cumplimiento del reporte de bases de datos ante la Superintendencia de Industria y Comercio (SIC)
DESVIACION DEL CONTROL
El profesional Contnuidad del serivicio y de Habeas Data apoyan la documentación y sensibilizacion a los funcionarios de la ETITC  del procedimiento que asegure la creación, actualización y conservación de la documentación relacionada con el Sistema de Gestión de Seguridad de la Información (SGSI)</t>
  </si>
  <si>
    <r>
      <rPr>
        <b/>
        <sz val="11"/>
        <color rgb="FF000000"/>
        <rFont val="Arial"/>
        <family val="2"/>
      </rPr>
      <t>D20</t>
    </r>
    <r>
      <rPr>
        <sz val="11"/>
        <color rgb="FF000000"/>
        <rFont val="Arial"/>
        <family val="2"/>
      </rPr>
      <t xml:space="preserve"> - Falta de documentación relacionada con el sistema de gestión de seguridad de la información, ciberseguridad y protección de la privacidad de datos personales y reporte de BD ante la SIC.</t>
    </r>
  </si>
  <si>
    <t>4. Realizar actividades de toma de conciencia, educación y formación en la seguridad de la información - Gestión de contraseñas a los funcionarios ETITC.</t>
  </si>
  <si>
    <t>Solicitar a los contratistas apoyo para la realización de ciclos de capacitaciones continuas 
Difusión en el sitio web institucional de contenidos sobre seguridad de la información, complementados con materiales audiovisuales y gráficos orientados a la concientización en ciberseguridad
Actividades de socialización toma de conciencia, educación y formación en la seguridad de la información - Manejo inadecuado de contraseñas.
GSI-PL-01 Sensibilización y Entrenamiento
Evidencia de apropiación de conocimiento a los funcionarios post capacitación</t>
  </si>
  <si>
    <t xml:space="preserve">4.  El profesional de Seguridad de la Información realizar actividades de toma de conciencia, educación y formación en la seguridad de la información Manejo inadecuado de contraseñas.
DESVIACIÓN DEL CONTROL
Solicitar al contratista de ciberseguridad  apoyo para la realización de ciclos de capacitaciones continuas </t>
  </si>
  <si>
    <r>
      <rPr>
        <b/>
        <sz val="11"/>
        <color theme="1"/>
        <rFont val="Arial"/>
        <family val="2"/>
      </rPr>
      <t>D15</t>
    </r>
    <r>
      <rPr>
        <sz val="11"/>
        <color theme="1"/>
        <rFont val="Arial"/>
        <family val="2"/>
      </rPr>
      <t xml:space="preserve"> - Manejo inadecuado de contraseñas.</t>
    </r>
  </si>
  <si>
    <t xml:space="preserve">3. Realizar actividades de toma de conciencia, educación y formación en la seguridad de la información - Gestión de contraseñas a los funcionarios ETITC. </t>
  </si>
  <si>
    <t xml:space="preserve">Difusión en el sitio web institucional de contenidos sobre seguridad de la información, complementados con materiales audiovisuales y gráficos orientados a la concientización en ciberseguridad
Actividades de socialización toma de conciencia, educación y formación en la seguridad de la información - técnicas de Ingeniería social (spam, phishing, fakemailing, entre otros.)
GSI-PL-01 Sensibilización y Entrenamiento
Evidencia de apropiación de conocimiento a los funcionarios post capacitación
</t>
  </si>
  <si>
    <t xml:space="preserve"> 3. El profesional de Seguridad de la Información realizar actividades de toma de conciencia, educación y formación en la seguridad de la información - técnicas de Ingeniería social (spam, phishing, fakemailing, entre otros.)
DESVIACIÓN DEL CONTROL
Solicitar al contratista de ciberseguridad  apoyo para la realización de ciclos de capacitaciones continuas </t>
  </si>
  <si>
    <r>
      <t xml:space="preserve">
</t>
    </r>
    <r>
      <rPr>
        <b/>
        <sz val="11"/>
        <color theme="1"/>
        <rFont val="Arial"/>
        <family val="2"/>
      </rPr>
      <t>D8</t>
    </r>
    <r>
      <rPr>
        <sz val="11"/>
        <color theme="1"/>
        <rFont val="Arial"/>
        <family val="2"/>
      </rPr>
      <t xml:space="preserve"> - Desconocimiento por parte de los servidores públicos y contratistas en las técnicas de Ingeniería social (spam, phishing, fakemailing, entre otros.)</t>
    </r>
  </si>
  <si>
    <t xml:space="preserve">2. Realizar actividades de toma de conciencia, educación y formación en la seguridad de la información - uso de los sistemas de información en la  ETITC. (Acompañamiento  del profesional de Continuidad)
</t>
  </si>
  <si>
    <t xml:space="preserve">
Publicación en el sitio web institucional de todos los temas de seguridad de la información, continuidad del servicio y de ciberseguridad.
Actividades de socialización de la Política General de Seguridad de la Información, Objetivos del MSPI, el Alcance del MSPI, Manual de Políticas de Seguridad de la Información y Procedimientos de Seguridad de la Información
GSI-PL-01 Sensibilización y Entrenamiento
Evidencia de apropiación de conocimiento a los funcionarios post capacitación</t>
  </si>
  <si>
    <t>2. El profesional de Seguridad de la Información, El líder de informática y telecomunicaciones y el profesional de continuidad del negocio incluyen en su Plan de Sensibilización y Entrenamiento talleres y capacitaciones para fortalecer la competencia y formación de los funcionarios.
DESVIACIÓN DEL CONTROL
Solicitar a los proveedores de servicio, incluir entrenamiento para fortalecimiento de las competencias</t>
  </si>
  <si>
    <r>
      <rPr>
        <b/>
        <sz val="11"/>
        <color rgb="FF000000"/>
        <rFont val="Arial"/>
        <family val="2"/>
      </rPr>
      <t xml:space="preserve">D11 </t>
    </r>
    <r>
      <rPr>
        <sz val="11"/>
        <color rgb="FF000000"/>
        <rFont val="Arial"/>
        <family val="2"/>
      </rPr>
      <t>- Falta de apropiación de los procesos, procedimientos y uso de los sistemas de información de la Escuela por parte de los servidores públicos y contratistas.</t>
    </r>
  </si>
  <si>
    <t>Las evidencias se conservarán en el archivo de One Drive del SI:
Informes que detallen todos los requisitos de seguridad de la información incluidos en los acuerdos con cada proveedor, asegurando su compatibilidad con la infraestructura tecnológica de la Escuela
Informes con las actividades de socialización de la Política General de Seguridad de la Información, Objetivos del MSPI, el Alcance del MSPI, Manual de Políticas de Seguridad de la Información y Procedimientos de Seguridad de la Información
Evidencias de apropiación de conocimiento a los funcionarios post capacitaciones
GSI-PL-01 Sensibilización y Entrenamiento
Creación de Política de Tratamiento de Datos Personales ley 1581 2012 (Habeas data)</t>
  </si>
  <si>
    <t xml:space="preserve">1. Revisar y documentar  la asignación de roles y responsabilidades para gestión de usuarios con acceso  lógico, así como restricción de acceso a los datos mediante técnicas de ciberseguridad como la identificación, autenticación y autorización. </t>
  </si>
  <si>
    <t>1. Realizar el análisis técnico con el fin de identificar la causa raíz. posible.
2. Reestablecer el servicio en el menor tiempo
3. Documentar las acciones y lecciones aprendidas.
4. Socialización y retroalimentación al equipo responsable con el fin de sensibilizar las causas de la materialización del riesgo.
5. Establecer medidas preventivas, de detección y de respuesta ante incidentes de ciberseguridad causados por técnicas de ingeniería social</t>
  </si>
  <si>
    <t xml:space="preserve"> GSI-DO-02 SOA (documento interno privado)
Seguimiento al cumplimiento del procedimiento GIC-PC-15 ASIGNACIÓN DE ACCESO A LOS SISTEMAS DE INFORMACIÓN.</t>
  </si>
  <si>
    <t>1.  El profesional de Seguridad de la información establece una política institucional de gestión de usuarios que defina lineamientos claros para la asignación de roles y responsabilidades en los sistemas de información, incluyendo criterios de acceso, niveles de privilegio y validación periódica, bajo la supervisión del área de tecnología y seguridad de la información.
El profesional de Seguridad de la Información debe realizar la verificación con base al registro de GSI-FO-08 INSPECCION TECNICA DE SEGURIDAD DE LA INFORMACION
DESVIACION DEL CONTROL
Asignar a la coordinadora de Mesa de Servicios, la creación de usuario y acceso a los sistemas de información y servicios tecnológicos.
El profesional de continuidad del servicio debe asegurarse del correcto funcionamiento de la prestación de servicios en alta disponibilidad.</t>
  </si>
  <si>
    <r>
      <rPr>
        <b/>
        <sz val="11"/>
        <color rgb="FF000000"/>
        <rFont val="Arial"/>
        <family val="2"/>
      </rPr>
      <t>D26</t>
    </r>
    <r>
      <rPr>
        <sz val="11"/>
        <color rgb="FF000000"/>
        <rFont val="Arial"/>
        <family val="2"/>
      </rPr>
      <t xml:space="preserve"> - Falta de lineamientos para la asignación de roles y responsabilidades para gestión de usuarios en los sistemas de información.
</t>
    </r>
  </si>
  <si>
    <t>15. Establecer y acordar todos los requisitos de seguridad de la información dentro de los acuerdos pertinente a cada proveedor.</t>
  </si>
  <si>
    <t>Informe técnico de compatibilidad y evaluación de proveedores, respaldado por actas de comité técnico, análisis de requerimientos de infraestructura y registros de pruebas de interoperabilidad con los sistemas existentes</t>
  </si>
  <si>
    <t xml:space="preserve">
5. El profesional de Seguridad de la Información debe establecer un proceso de evaluación técnica y de compatibilidad previo a la contratación o renovación de proveedores de servicios tecnológicos, asegurando que los sistemas operativos y canales de conectividad ofrecidos sean plenamente compatibles con la infraestructura tecnológica existente en la Escuela
DESVIACION DEL CONTROL
Solicitar a los proveedores de servicio compromisos y garantías para asegurar la continuidad operativa y una respuesta efectiva ante interrupciones</t>
  </si>
  <si>
    <t>13. Realizar actividades de toma de conciencia, educación y formación en la seguridad de la información a los funcionarios ETITC.
 14. Sensibilizar al personal de Gestión de Informática y Comunicaciones que aporta a la implementación de los controles técnicos de Seguridad de la Información.</t>
  </si>
  <si>
    <t xml:space="preserve">
A.6.3 Conciencia de seguridad de la información, educación y formación.
Plan de Sensibilización y Entrenamiento
Evidencia de apropiacion de conocimiento a los funcionarios post Capacitacion 
</t>
  </si>
  <si>
    <t>4. El profesional de Seguridad de la Información incluye en su Plan de Sensibilización y Entrenamiento talleres y capacitaciones para fortalecer la competencia y formación de los funcionarios.
DESVIACION DEL CONTROL
Solicitar a los proveedores de servicio, incluir entrenamiento para fortalecimiento de las competencias.</t>
  </si>
  <si>
    <t>10. Divulgar los riesgos al tener puertos USB abiertos en las estaciones Administrativas.
11. Realizar mesas de trabajo con las áreas que deben tener puertos USB abiertos para el desarrollo de las actividades, anexando acta de aceptación del riesgo al mismo.
12. Sensibilizar a las partes interesadas acerca de los lineamientos de seguridad digital para el correcto funcionamiento de puertos USB abiertos.</t>
  </si>
  <si>
    <t>7.8 Emplazamiento y protección de equipos
A 7.10 Medios de almacenamiento
8.7 Protección contra malware
GSI-FO-09 Verificación de políticas de dispositivos USB y de WhatsApp Web</t>
  </si>
  <si>
    <t>3. El profesional del proceso de  Gestión de Informática y comunicaciones, otoga los permisos de acuerdo de acuerdo con el desarrollo de sus actividades y solicitud del jefe y/o supervisor
DESVIACION DEL CONTROL</t>
  </si>
  <si>
    <r>
      <rPr>
        <b/>
        <sz val="11"/>
        <color rgb="FF000000"/>
        <rFont val="Arial"/>
        <family val="2"/>
      </rPr>
      <t>A12</t>
    </r>
    <r>
      <rPr>
        <sz val="11"/>
        <color rgb="FF000000"/>
        <rFont val="Arial"/>
        <family val="2"/>
      </rPr>
      <t xml:space="preserve"> - Ataques informáticos a infraestructura tecnológica debido a puertos de comunicación TCP/UDP no autorizados en estado abierto (sin filtrar)</t>
    </r>
  </si>
  <si>
    <t>Las evidencias se conservarán en el archivo de One Drive del SI:
Informes que detallen todos los requisitos de seguridad de la información incluidos en los acuerdos con cada proveedor, asegurando su compatibilidad con la infraestructura tecnológica de la Escuela
Resultado de Análisis de Vulnerabilidades Externo 
Creación de Política de Tratamiento de Datos Personales ley 1581 2012 (Habeas data)</t>
  </si>
  <si>
    <t xml:space="preserve">1. El profesional de Seguridad de la Informacion  desde la consola SEM,  monitorea los eventos de seguridad digital y logs para evitar posibles ataques o vulnerabilidades a los sistemas de información, debido a  intrusiones cibernéticas a las aplicaciones, página web por navegación URLS externas a la ETITC.
DESVIACION DEL CONTROL
Contactar a las entidades externas oficiales que dan soporte a incidentes de seguridad de la información tales
como la COLCERT, CSIRT de Gobierno, Fiscalía y DIJIN de acuerdo al procedimiento GIC-PC-13 Contacto con las autoridades. </t>
  </si>
  <si>
    <t>6. Implementar un proceso de identificación, registro, custodia y control de la infraestructura tecnológica no respaldada por el área de Informática y Comunicaciones, con responsables asignados y seguimiento periódico</t>
  </si>
  <si>
    <t xml:space="preserve">
Informe técnico o acta de recorrido, detallando la infraestructura identificada sin respaldo del área de Informática y Comunicaciones, su ubicación, estado y recomendaciones para su regularización.</t>
  </si>
  <si>
    <t>6. El profesional de Seguridad de la Información realiza la identificación de la existencia de infraestructura tecnológica sin apoyo y/o custodia del proceso de informática y comunicaciones
DESVIACIÓN DEL CONTROL
Solicitar al contratista de continuidad del servicio y al líder del área de Informática y Telecomunicaciones la realización de un recorrido para identificar infraestructura tecnológica que no cuente con el respaldo o custodia del proceso de Informática y Comunicaciones</t>
  </si>
  <si>
    <r>
      <rPr>
        <b/>
        <sz val="11"/>
        <color rgb="FF000000"/>
        <rFont val="Arial"/>
        <family val="2"/>
      </rPr>
      <t>D6</t>
    </r>
    <r>
      <rPr>
        <sz val="11"/>
        <color rgb="FF000000"/>
        <rFont val="Arial"/>
        <family val="2"/>
      </rPr>
      <t xml:space="preserve"> - Existencia de infraestructura tecnológica sin apoyo y/o custodia del proceso de informática y comunicaciones</t>
    </r>
  </si>
  <si>
    <t>5,. Escaneo periódico de puertos, el cierre o filtrado inmediato de puertos TCP/UDP no autorizados y la aplicación de políticas de control de acceso. 
Realizar revisiones periódicas a las políticas específicas de seguridad e la información directamente en la consola de antivirus y en especial realizar control de puertos USB.</t>
  </si>
  <si>
    <t>A.5.15 Acceso a redes y a servicios en red.
A.7.13 Mantenimiento de equipos.
A.8.21 Seguridad de los servicios de red.
Soporte de Auditorias Técnicas a los proveedores
Escaneo de puertos periódicos
Correo electrónico de notificación de permisos de acuerdo con las Excepciones</t>
  </si>
  <si>
    <t>5. El profesional del proceso de  Gestión de Informática y comunicaciones, otorga los permisos de acuerdo con el desarrollo de sus actividades y solicitud del jefe y/o supervisor
DESVIACION DEL CONTROL</t>
  </si>
  <si>
    <r>
      <rPr>
        <b/>
        <sz val="11"/>
        <color rgb="FF000000"/>
        <rFont val="Arial"/>
        <family val="2"/>
      </rPr>
      <t>D15</t>
    </r>
    <r>
      <rPr>
        <sz val="11"/>
        <color rgb="FF000000"/>
        <rFont val="Arial"/>
        <family val="2"/>
      </rPr>
      <t xml:space="preserve"> - Manejo inadecuado de contraseñas.</t>
    </r>
  </si>
  <si>
    <r>
      <rPr>
        <b/>
        <sz val="11"/>
        <color theme="1"/>
        <rFont val="Arial"/>
        <family val="2"/>
      </rPr>
      <t>D8</t>
    </r>
    <r>
      <rPr>
        <sz val="11"/>
        <color theme="1"/>
        <rFont val="Arial"/>
        <family val="2"/>
      </rPr>
      <t xml:space="preserve"> - Desconocimiento por parte de los servidores públicos y contratistas en las técnicas de Ingeniería social (spam, phishing, fakemailing, entre otros.)</t>
    </r>
  </si>
  <si>
    <t>2. Hacer revision de las actividades delprocedimiento  formal y automatizado para la notificación oportuna de novedades de usuarios (retiros, licencias, vacaciones, etc.) al área de Informática y Comunicaciones, con responsables designados, plazos definidos y seguimiento continuo.
Identificar áreas seguras con el fin de prevenir el acceso físico no autorizado, el daño y la intermitencia de la información.</t>
  </si>
  <si>
    <t>Soporte de control para formalizar la asignación de la creación de usuarios y accesos a la Coordinadora de Mesa de Servicios, por medio de caso en GLPI</t>
  </si>
  <si>
    <t>2.  El profesional de Seguridad de la Información valida la desconexión de usuarios (retirados y/o depuración de correos) con el fin de controlar permisos de acceso o denegación de servicio.
DESVIACION DEL CONTROL
Asignar a la coordinadora de Mesa de Servicios, la creación de usuario y acceso a los sistemas de información y servicios tecnológicos.</t>
  </si>
  <si>
    <r>
      <rPr>
        <b/>
        <sz val="11"/>
        <color rgb="FF000000"/>
        <rFont val="Arial"/>
        <family val="2"/>
      </rPr>
      <t>D27</t>
    </r>
    <r>
      <rPr>
        <sz val="11"/>
        <color rgb="FF000000"/>
        <rFont val="Arial"/>
        <family val="2"/>
      </rPr>
      <t xml:space="preserve"> - Notificación inoportuna de novedades de usuario de servidores públicos y contratistas (Retiro, vacaciones, muerte, licencias, terminación de contrato, cesión de contrato, rotación de dependencias) al área de Informática y Comunicaciones.</t>
    </r>
  </si>
  <si>
    <t>Las siguientes evidencias se conservaran en el archivo de One Drive del SI y en el GLP
GIC-PC-15 Asignación De Acceso A Los Sistemas De Información
Soporte de control para formalizar la asignación de la creación de usuarios y accesos a la Coordinadora de Mesa de Servicios, por medio de caso en GLPI
GSI-FO-09 Informe de Pruebas de Auditoría Técnica
GSI-PL-01 Sensibilización y Entrenamiento
Evidencia de apropiación de conocimiento a los funcionarios post capacitación</t>
  </si>
  <si>
    <t>1.  El profesional de Seguridad de la informacion establece una política institucional de gestión de usuarios que defina lineamientos claros para la asignación de roles y responsabilidades en los sistemas de información, incluyendo criterios de acceso, niveles de privilegio y validación periódica, bajo la supervisión del área de tecnología y seguridad de la información.
DESVIACION DEL CONTROL
Asignar a la coordinadora de Mesa de Servicios, la creación de usuario y acceso a los sistemas de información y servicios tecnológicos.</t>
  </si>
  <si>
    <t>Posible afectación económica y pérdida reputacional para la ETITC por accesos indebidos o malintencionados —físicos o lógicos— a los sistemas de información de procesos y áreas seguras, lo cual puede generar pérdida, alteración o divulgación no autorizada de información</t>
  </si>
  <si>
    <t>Profesional de Continuidad del Servicio</t>
  </si>
  <si>
    <t>7.  Generar y socializar las estrategias y/o actividades de respuesta ante una interrupción en la prestación del servicios de la ETITC.(profesional de continuidad.)</t>
  </si>
  <si>
    <t>Presentar los mecanismos de control establecidos para el Data center  (se encuentra aislado, sistema de alarmas, acceso mediante tarjeta, sistema de detección de incendios, sistemas de detección de intrusos, sistema de monitoreo de temperatura)</t>
  </si>
  <si>
    <t>7. El profesional de continuidad de servicio establece un protocolo de gestión de continuidad de servicios, que incluya acuerdos de nivel de servicio (SLA), planes de contingencia y canales de comunicación con proveedores para garantizar una respuesta oportuna ante interrupciones en la prestación del servicio hacia la ETITC.
DESVIACIÓN DEL CONTROL
Solicitar a los proveedores de servicio compromisos y garantías para asegurar la continuidad operativa y una respuesta efectiva ante interrupciones</t>
  </si>
  <si>
    <r>
      <rPr>
        <b/>
        <sz val="11"/>
        <color rgb="FF000000"/>
        <rFont val="Arial"/>
        <family val="2"/>
      </rPr>
      <t>A13</t>
    </r>
    <r>
      <rPr>
        <sz val="11"/>
        <color rgb="FF000000"/>
        <rFont val="Arial"/>
        <family val="2"/>
      </rPr>
      <t xml:space="preserve"> - Falta de respuesta ante una interrupción en la prestación del servicios de proveedores hacia la ETITC.</t>
    </r>
  </si>
  <si>
    <t xml:space="preserve"> Líder de Seguridad de la Información, Profesional de Continuidad del Servicio</t>
  </si>
  <si>
    <t>6. Realizar actividades de toma de conciencia, educación y formación en la seguridad de la información - uso de los sistemas de información en la  ETITC. (Acompañamiento  del profesional de Continuidad)</t>
  </si>
  <si>
    <t>Publicación en el sitio web institucional de todos los temas de seguridad de la información, continuidad del servicio y de ciberseguridad.
Actividades de socialización de la Política General de Seguridad de la Información, Objetivos del MSPI, el Alcance del MSPI, Manual de Políticas de Seguridad de la Información y Procedimientos de Seguridad de la Información
GSI-PL-01 Sensibilización y Entrenamiento
Evidencia de apropiación de conocimiento a los funcionarios post capacitación</t>
  </si>
  <si>
    <t>4. El profesional de Seguridad de la Información, El líder de informática y telecomunicaciones y el profesional de continuidad del negocio incluyen en su Plan de Sensibilización y Entrenamiento talleres y capacitaciones para fortalecer la competencia y formación de los funcionarios.
DESVIACIÓN DEL CONTROL
Solicitar a los proveedores de servicio, incluir entrenamiento para fortalecimiento de las competencias</t>
  </si>
  <si>
    <t xml:space="preserve">5.Actualizar el  plan de  continuidad de las actividades críticas mediante la designación de personal alterno capacitado, documentación de procesos y mecanismos de transferencia de conocimiento.Generar roles y responsabilidades frente a una ante una interrupción.
</t>
  </si>
  <si>
    <t>GSI-PL-01 Sensibilización y Entrenamiento
Evidencia de apropiación de conocimiento a los funcionarios post capacitación</t>
  </si>
  <si>
    <t>9. El profesional de continuidad de servicio establece un plan formal que garantice la continuidad de las actividades críticas mediante la designación de personal alterno capacitado, documentación de procesos y mecanismos de transferencia de conocimiento.
DESVIACIÓN DEL CONTROL
Solicitar a los proveedores y contratistas de servicio, incluir entrenamiento</t>
  </si>
  <si>
    <r>
      <rPr>
        <b/>
        <sz val="11"/>
        <color rgb="FF000000"/>
        <rFont val="Arial"/>
        <family val="2"/>
      </rPr>
      <t>D25</t>
    </r>
    <r>
      <rPr>
        <sz val="11"/>
        <color rgb="FF000000"/>
        <rFont val="Arial"/>
        <family val="2"/>
      </rPr>
      <t>- Falta de respaldo de personas para el desarrollo de actividades críticas en los casos que se presente incapacidades, vacaciones, muerte, licencias, entre otros</t>
    </r>
  </si>
  <si>
    <t>4.  Implementar un programa de capacitación continua, simulacros y campañas de sensibilización para reducir el desconocimiento sobre técnicas de ingeniería social entre servidores públicos y contratistas, fortaleciendo así la cultura de ciberseguridad institucional.</t>
  </si>
  <si>
    <t xml:space="preserve">
A.6.3 Conciencia de seguridad de la información, educación y formación.
Plan de Sensibilización y Entrenamiento
Evidencia de apropiacion de conocimiento a los funcionarios post Capacitacion </t>
  </si>
  <si>
    <t>4, El profesional de Seguridad de la Información realiza capacitaciones en temas relacionados a Seguridad de la Información y alineano al Plan de Capacitación Institucional
DESVIACION DEL CONTROL
Recomendar a la Alta Dirección la adquisición de software especializado.
Contactar a las entidades externas oficiales que dan soporte a incidentes de seguridad de la información tales
como la COLCERT, CSIRT de Gobierno, Fiscalía y DIJIN de acuerdo al procedimiento GIC-PC-13 Contacto con las autoridades.</t>
  </si>
  <si>
    <r>
      <rPr>
        <b/>
        <sz val="11"/>
        <color rgb="FF000000"/>
        <rFont val="Arial"/>
        <family val="2"/>
      </rPr>
      <t xml:space="preserve">D8 </t>
    </r>
    <r>
      <rPr>
        <sz val="11"/>
        <color rgb="FF000000"/>
        <rFont val="Arial"/>
        <family val="2"/>
      </rPr>
      <t>- Desconocimiento por parte de los servidores públicos y contratistas en las técnicas de Ingeniería social (spam, phishing, fakemailing, entre otros.)</t>
    </r>
  </si>
  <si>
    <t>3. Incluir en el plan anual de adquisición (PAA)  un  software especializado que permita hacer seguimiento de análisis de vulnerabilidades, realizar pruebas de penetración, auditoría de redes y a sistemas de información. Adquisición de SEM adaptado a la infraestructura tecnológica de la ETITC</t>
  </si>
  <si>
    <t>A.5.8 Seguridad de la Información en la Gestión de Proyectos
5.7 Inteligencia de amenazas
8.8 Gestión de Vulnerabilidades Técnicas
Plan Anual de Adquisiciones</t>
  </si>
  <si>
    <t>3. El profesional de Seguridad de la Información desde la consola SEM, monitorea los eventos de seguridad digital y logs para evitar posibles ataques o vulnerabilidades a los sistemas de información, debido a intrusiones cibernéticas a las aplicaciones, página web por navegación URLS externas a la ETITC.
DESVIACION DEL CONTROL
Recomendar a la Alta Dirección la adquisición de software especializado.
Contactar a las entidades externas oficiales que dan soporte a incidentes de seguridad de la información tales
como la COLCERT, CSIRT de Gobierno, Fiscalía y DIJIN de acuerdo al procedimiento GIC-PC-13 Contacto con las autoridades.</t>
  </si>
  <si>
    <r>
      <rPr>
        <b/>
        <sz val="11"/>
        <color rgb="FF000000"/>
        <rFont val="Arial"/>
        <family val="2"/>
      </rPr>
      <t>D23 -</t>
    </r>
    <r>
      <rPr>
        <sz val="11"/>
        <color rgb="FF000000"/>
        <rFont val="Arial"/>
        <family val="2"/>
      </rPr>
      <t xml:space="preserve"> Falta de software especializado que permitan hacer seguimiento de análisis de vulnerabilidades, realizar pruebas de penetración, auditoría de redes y a sistemas de información.
</t>
    </r>
    <r>
      <rPr>
        <sz val="11"/>
        <color rgb="FF1F497D"/>
        <rFont val="Arial"/>
        <family val="2"/>
      </rPr>
      <t xml:space="preserve">
</t>
    </r>
  </si>
  <si>
    <t>2. Actualizar  e implementar el plan de Continuidad y el  Plan de Contingencia, Recuperación y Retorno a la normalidad.(profesional de continuidad Lider de TI)</t>
  </si>
  <si>
    <t xml:space="preserve">A.5.29 Seguridad de la información durante una interrupción
A.8.13 Copias de seguridad de la información.
Plan de Pruebas de Continuidad
Soporte de Auditorias Técnicas a los proveedores </t>
  </si>
  <si>
    <t xml:space="preserve">2. El profesional de  continuidad de servicio controla os RTO /RPO a tráves de prubas ante posibles escenarios de indisponibilidad  
DESVIACIÓN DEL CONTROL
Activar planes de contingencia por parte del responsable 
</t>
  </si>
  <si>
    <r>
      <rPr>
        <b/>
        <sz val="11"/>
        <color rgb="FF000000"/>
        <rFont val="Arial"/>
        <family val="2"/>
      </rPr>
      <t>D28</t>
    </r>
    <r>
      <rPr>
        <sz val="11"/>
        <color rgb="FF000000"/>
        <rFont val="Arial"/>
        <family val="2"/>
      </rPr>
      <t xml:space="preserve"> - Ausencia y/o desactualización del Plan de Contingencia, Planes de Recuperación de Desastres (DRP), Objetivo de punto de recuperación (RPO) y de objetivo de tiempo de recuperación (RTO) y Retorno a la normalidad</t>
    </r>
  </si>
  <si>
    <t>Las siguientes evidencias se conserva en el archivo de One Drive del SI
Plan de Pruebas de Continuidad
Soporte de Auditorias Técnicas a los proveedores
Evidencia de apropiación de conocimiento a los funcionarios post capacitació
GSI-FO-09 Informe de Pruebas de Auditoría Técnica
Programa de Auditorias
Evidencia de apropiación de conocimiento a los funcionarios post capacitación
Publicación en el sitio web institucional de todos los temas de seguridad de la información, continuidad del servicio y de ciberseguridad.
Actividades de socialización de la Política General de Seguridad de la Información, Objetivos del MSPI, el Alcance del MSPI, Manual de Políticas de Seguridad de la Información y Procedimientos de Seguridad de la Información
GSI-PL-01 Sensibilización y Entrenamiento</t>
  </si>
  <si>
    <t xml:space="preserve">1. Realizar simulacros de auditorias de acuerdo con el programa anual de auditorias de inspección técnica del SGSI.
</t>
  </si>
  <si>
    <t xml:space="preserve">A.8.34 Protección de los sistemas de información durante las pruebas de auditoría
GSI-FO-09 Informe de Pruebas de Auditoría Técnica
Programa de Auditorias </t>
  </si>
  <si>
    <t>1. El profesional de seguridad de la información realiza auditorías a la Infraestructura tecnológica Crítica, y realiza el control de cumplimiento a través de programa de auditorías 
DESVIACIÓN DEL CONTROL
El líder de informática y telecomunicaciones realiza seguimiento al plan de mantenimiento a la infraestructura tecnológica</t>
  </si>
  <si>
    <t>Integridad,
Disponibilidad</t>
  </si>
  <si>
    <t>Posible afectación económica y pérdida reputacional para la ETITC por la indisponibilidad del servicio, debido a  interrupciones derivadas de fallos eléctricos, daños en infraestructura tecnológica (hardware, climatización, UPS), ataques cibernéticos, desastres naturales, hurto o vandalismo sobre redes de telecomunicaciones.</t>
  </si>
  <si>
    <t>Ataques  o denegación de servicios - sabotaje/ Desastre natural y/o Desastre causado por el hombre</t>
  </si>
  <si>
    <r>
      <rPr>
        <b/>
        <sz val="11"/>
        <color rgb="FF000000"/>
        <rFont val="Arial"/>
        <family val="2"/>
      </rPr>
      <t>D4</t>
    </r>
    <r>
      <rPr>
        <sz val="11"/>
        <color rgb="FF000000"/>
        <rFont val="Arial"/>
        <family val="2"/>
      </rPr>
      <t xml:space="preserve"> - Falta de mantenimiento a la Infraestructura Crítica y Física: Cableado Estructurado, Racks, Aires Acondicionados, Sistemas de Extinción de Incendios, Sistema de Alerta Sísmica, UPS y Plantas eléctricas y Sistema de Protección contra descargas Eléctricas Atmosféricas</t>
    </r>
  </si>
  <si>
    <t xml:space="preserve">Seguridad de la Informacion </t>
  </si>
  <si>
    <t>Seguridad de la información: se incluyo nuevamente en el contexto la D3 que se había eliminado y se crea nuevamente (D23 - Falta de software especializado que permitan hacer seguimiento de análisis de vulnerabilidades, realizar pruebas de penetración, auditoría de redes y a sistemas de información.)
Seguridad de la información: se unifican los riesgos 1 y 2 por tratarse del mismo control (Posibilidad de afectación económica y pérdida  reputacional por indisponibilidad de los procesos críticos de la ETITC, debido a interrupciones del servicio por cortes de electricidad, fallos de hardware, daños  de los sistemas de climatización del datacenter y daño y/o descarga de las baterías del equipo UPS, daños provocados por mal funcionamiento de los equipos tecnológicos, ataques cibernéticos, desastres naturales, hurto de infraestructura y actos de vandalismo contra las redes de telecomunicaciones.)
Seguridad de la información: se excluye  riesgo (Posibilidad de pérdida  reputacional por la actualización de norma ISO 27001:2022 y falta de recursos adicionales en términos de tiempo, personal y capacitación para comprender y aplicar los cambios correctamente, Causas: D5, D11, D20, D22) por realización de planes de mejora 
Seguridad de la información: se cambia líder del proceso</t>
  </si>
  <si>
    <t>Profesinoales Seguridad de la Informacion y continuidad del servicio</t>
  </si>
  <si>
    <t xml:space="preserve">Se integran los riesgos de los sistemas gestión de calidad, Ambiental, Seguridad de la información, Seguridad y salud en el trabajo </t>
  </si>
  <si>
    <r>
      <rPr>
        <b/>
        <sz val="12"/>
        <color rgb="FF287840"/>
        <rFont val="Arial"/>
        <family val="2"/>
      </rPr>
      <t>Causa Inmediata</t>
    </r>
    <r>
      <rPr>
        <b/>
        <sz val="12"/>
        <color theme="0"/>
        <rFont val="Arial"/>
        <family val="2"/>
      </rPr>
      <t xml:space="preserve">
CAUSA (VULNERABILIDADES)</t>
    </r>
  </si>
  <si>
    <r>
      <rPr>
        <b/>
        <sz val="12"/>
        <color rgb="FF287840"/>
        <rFont val="Arial"/>
        <family val="2"/>
      </rPr>
      <t>Causa Raíz-</t>
    </r>
    <r>
      <rPr>
        <b/>
        <sz val="12"/>
        <color theme="0"/>
        <rFont val="Arial"/>
        <family val="2"/>
      </rPr>
      <t xml:space="preserve">
Amenazas</t>
    </r>
  </si>
  <si>
    <r>
      <t xml:space="preserve">
</t>
    </r>
    <r>
      <rPr>
        <b/>
        <sz val="11"/>
        <rFont val="Arial"/>
        <family val="2"/>
      </rPr>
      <t>D23</t>
    </r>
    <r>
      <rPr>
        <sz val="11"/>
        <rFont val="Arial"/>
        <family val="2"/>
      </rPr>
      <t xml:space="preserve"> - Falta de software especializado que permitan hacer seguimiento de análisis de vulnerabilidades, realizar pruebas de penetración, auditoría de redes y a sistemas de información.
</t>
    </r>
  </si>
  <si>
    <r>
      <rPr>
        <b/>
        <sz val="11"/>
        <rFont val="Arial"/>
        <family val="2"/>
      </rPr>
      <t>D16</t>
    </r>
    <r>
      <rPr>
        <sz val="11"/>
        <rFont val="Arial"/>
        <family val="2"/>
      </rPr>
      <t xml:space="preserve"> - Falta de presupuesto para la renovación de la infraestructura tecnológica, lo que genera contar con infraestructura obsoleta e incompatibilidad con nuevas tecnologías.</t>
    </r>
  </si>
  <si>
    <r>
      <rPr>
        <b/>
        <sz val="11"/>
        <rFont val="Arial"/>
        <family val="2"/>
      </rPr>
      <t>A12</t>
    </r>
    <r>
      <rPr>
        <sz val="11"/>
        <rFont val="Arial"/>
        <family val="2"/>
      </rPr>
      <t xml:space="preserve"> - Ataques informáticos a infraestructura tecnológica debido a puertos de comunicación TCP/UDP no autorizados en estado abierto (sin filtrar)</t>
    </r>
  </si>
  <si>
    <r>
      <rPr>
        <b/>
        <sz val="11"/>
        <rFont val="Arial"/>
        <family val="2"/>
      </rPr>
      <t>D24</t>
    </r>
    <r>
      <rPr>
        <sz val="11"/>
        <rFont val="Arial"/>
        <family val="2"/>
      </rPr>
      <t xml:space="preserve"> - Falta de conocimientos del personal de Gestión de Informática y Comunicaciones que aporta a la implementación de controles técnicos de Seguridad de la Información.</t>
    </r>
  </si>
  <si>
    <r>
      <rPr>
        <b/>
        <sz val="11"/>
        <rFont val="Arial"/>
        <family val="2"/>
      </rPr>
      <t>A7</t>
    </r>
    <r>
      <rPr>
        <sz val="11"/>
        <rFont val="Arial"/>
        <family val="2"/>
      </rPr>
      <t xml:space="preserve"> - Los proveedores de los sistemas operativos, canal de internet, no son compatibles con la infraestructura tecnológica de la Escuela.</t>
    </r>
  </si>
  <si>
    <r>
      <rPr>
        <sz val="11"/>
        <color theme="9" tint="-0.249977111117893"/>
        <rFont val="Arial"/>
        <family val="2"/>
      </rPr>
      <t>*Nota:</t>
    </r>
    <r>
      <rPr>
        <sz val="11"/>
        <color theme="1"/>
        <rFont val="Arial"/>
        <family val="2"/>
      </rPr>
      <t xml:space="preserve"> 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</si>
  <si>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Alineación de lineamientos e implementación del proceso para la actualización de los documentos maestros y documentos institucionales</t>
  </si>
  <si>
    <t>Inclumplimiento en la atención de la visita de evaluación con fines de acreditación institucional</t>
  </si>
  <si>
    <t>Falta de compromiso por los actores del proceso preparativo y de atención de la evaluación externa</t>
  </si>
  <si>
    <t>Posibilidad de afectación reputacional por incumplimiento en la demostración de la alta calidad institucional que busca la acreditación de la escuela</t>
  </si>
  <si>
    <t xml:space="preserve">Incumplimiento en la alineación de los proyectos </t>
  </si>
  <si>
    <t>Posibilidad de afectación reputacional por el incumplimiento en el desarrollo de los proyectos dispuestos el el PDI 2025-2032 y cuya responsabilidad es de autoevaluación institucional</t>
  </si>
  <si>
    <t>SST-</t>
  </si>
  <si>
    <t>1CA</t>
  </si>
  <si>
    <t>2CA</t>
  </si>
  <si>
    <t>3CA</t>
  </si>
  <si>
    <t>"1. Evaluación médica preocupacional o de preingreso.
2. Evaluaciones médicas ocupacionales periódicas (programadas o por cambios de ocupación).
3. Evaluación médica posocupacional o de egreso.
4. Profesiograma
5. Diagnostico condiciones de salud"</t>
  </si>
  <si>
    <t>Su causas de la causa raíz</t>
  </si>
  <si>
    <t>Para la fecha en que se realizó el seguimiento se tenia evidencia del informe del primer trimestre de la vigencia, enviado al proceso de  gestión documental.</t>
  </si>
  <si>
    <t>Lista de asistencias y programacion de acompañamientos en TEAM</t>
  </si>
  <si>
    <t>Mapas de reiesgos Publicados en  Transparencia 4.11</t>
  </si>
  <si>
    <t>Para la fecha en que se realizó el seguimiento se tenia evidencia del segundo informe correspondiente al Segundo trimestre de la vigencia 2025, enviado al proceso de  gestión documental. No Se ha Materializado el Riesgo.</t>
  </si>
  <si>
    <t xml:space="preserve">Se consolido la información correspondiente a las Entradas de la Revisión por Dirección para el Sistema Integrado de Gestión, la cual fue realizada en el mes de Junio de 2025. </t>
  </si>
  <si>
    <t>https://www.etitc.edu.co/archives/calidad/informerevisiondireccion24.pdf</t>
  </si>
  <si>
    <t xml:space="preserve">El informe de la Auditoria Interna de Calidad se socializo con los lideres de proceso a través de correo electronico, </t>
  </si>
  <si>
    <t xml:space="preserve">Se adelantó el seguimiento a 47 planes de mejora abiertos y al 26 de Junio se cerraron 28 planes de mejoramiento.   </t>
  </si>
  <si>
    <t xml:space="preserve">De 20 Mapas de riesgo se cuentan actualmente con 18 riesgos actualizado a través de acompañimento a los lideres de proceso. </t>
  </si>
  <si>
    <t>Mapas de riesgos Publicados en  Transparencia 4.11</t>
  </si>
  <si>
    <t>https://www.etitc.edu.co/es/page/leytransparencia</t>
  </si>
  <si>
    <t>https://itceduco-my.sharepoint.com/:f:/g/personal/calidad_itc_edu_co/EooFaHSaomdEu8CZxguOPWsBJDxBQK_nBVLooJ5wCp3enw?e=xbIKkC</t>
  </si>
  <si>
    <t xml:space="preserve">1. Se muestra la matriz “GAM-FO-12 MATRIZ DE REQUISITOS LEGALES”, con actualización a mayo de la presente vigencia, la profesional líder, menciona que en el análisis legal, no se identificado requisitos legales ambientales en incumplimiento con corte a agosto de 2025. </t>
  </si>
  <si>
    <t>https://itceduco-my.sharepoint.com/:x:/g/personal/gestionambiental_itc_edu_co/EdTcw380hCFCgEhK2qTLIboBSrMSEekGF6lble_2gKH2CQ?e=bAT9Sv</t>
  </si>
  <si>
    <t xml:space="preserve">2. Desde el área se realiza seguimiento mediante el formato GAM-FO-19 Seguimiento a Programas Ambientales, se evidencia la información actualziada. 
*REPORTE RESPEL periodo 2024: Nro.: 5000355420/ Fecha: Fecha y hora del cierre:
14/03/2025 05:10:39 PM
*REPORTE LIBRO DE OPERACIONES: CONSUMO DE MADERA 
Periodo 02/08/2024 al 02/02/2025 Radicado: 2025ER114998 
Fecha: 29 de mayo de 2025
*Reporte de caracterización de vertimientos periodo 2024 Fecha: 05/03/2025 10:26:52 AM - Radicado N. 140504-EEAB-2025
</t>
  </si>
  <si>
    <t>https://itceduco-my.sharepoint.com/:x:/g/personal/gestionambiental_itc_edu_co/Edae4N1s6RxIoj99msshrwQBOHj4Gz_SJgO83NkMNJvvBg?e=gVsv6o</t>
  </si>
  <si>
    <t xml:space="preserve">. El control no se ha ejecutado, toda vez que no se han incumplido requisitos legales distintos a los ya reportando con anterioridad por el proceso. </t>
  </si>
  <si>
    <t xml:space="preserve">El control será aplicado durante la jornada de planeación durante el mes de noviembre.  </t>
  </si>
  <si>
    <r>
      <rPr>
        <b/>
        <sz val="14"/>
        <rFont val="Arial"/>
        <family val="2"/>
      </rPr>
      <t>LÍDER DEL PROCESO:</t>
    </r>
    <r>
      <rPr>
        <sz val="14"/>
        <rFont val="Arial"/>
        <family val="2"/>
      </rPr>
      <t xml:space="preserve"> </t>
    </r>
  </si>
  <si>
    <t xml:space="preserve">Se realiza el cronograma de Acreditación de programas mediante el cual se verifican las acciones ejecutadas en el marco del proceso de autoevaluación académica de los programas ETITC, se evidencia la gestión realizada hasta la etapa 7, consolidación de informes.    
Desde el área se realiza una matriz que permite controlar los diferentes trámites de y vigencias de registros calificados. 
Desde el área se realiza la actualización de su espacio en la página institucional, mostrando la percepción de la comunidad educativa en los procesos de autoevaluación institucional.  
</t>
  </si>
  <si>
    <t>Matrices Cronograma</t>
  </si>
  <si>
    <t xml:space="preserve">Durante la presente vigencia, el área de Autoevaluación ha realizado acompañamiento a las diferentes áreas y procesos para la generación de los productos que serán expuestos durante la visita de pares externos, se evidencian los productos que ha sido entregados a Autoevaluación. Por otra parte, se adelanta un proceso contractual para contar con los servicios profesionales de un profesional (par), que asesore la institución sobre el proceso en curso. </t>
  </si>
  <si>
    <t xml:space="preserve">Carpetas con evidenias de los procesos </t>
  </si>
  <si>
    <t>3. Desde el área se realizaron los procesos correspondientes para la renovación de acreditación en alta calidad de las facultades de Sistemas y Procesos industriales, a la fecha ya se cuenta con concepto favorables. Por otra parte, y teniendo en cuenta las recomendaciones de Hno, Rector, el 20 de febrero de la presente vigencia se radicaron los documentos técnicos para la renovación de acreditación en alta calidad de la facultad de electromecánica.</t>
  </si>
  <si>
    <t>Aplicativo SACES</t>
  </si>
  <si>
    <t xml:space="preserve">4. Con el fin de contar con la percepción la parte administrativa de la institución, se realizó una encuesta entre febrero y agosto, se contó con la participación de 8 directivos y 140 administrativos, se consolida la información para generar informe.  </t>
  </si>
  <si>
    <t>https://forms.office.com/r/NSjkuCZZti?origin=lprLink</t>
  </si>
  <si>
    <t xml:space="preserve">El profesional de Cotinuidad del servicio y seguridad de la información  realiza auditorías a la Infraestructura tecnológica Crítica, y realiza el control de cumplimiento a través de programa de auditorías </t>
  </si>
  <si>
    <t>https://itceduco-my.sharepoint.com/:f:/g/personal/seguridaddigital_itc_edu_co/ElqWBeKLwrNIhyyyZKkau7wByewKccwSIsnxG4S65beoXw?e=22kR69</t>
  </si>
  <si>
    <t xml:space="preserve">El profesional de  continuidad de servicio controla os RTO /RPO a tráves de prubas ante posibles escenarios de indisponibilidad  </t>
  </si>
  <si>
    <t>El profesional de Seguridad de la Información desde la consola SEM, monitorea los eventos de seguridad digital y logs para evitar posibles ataques o vulnerabilidades a los sistemas de información, debido a intrusiones cibernéticas a las aplicaciones, página web por navegación URLS externas a la ETITC.</t>
  </si>
  <si>
    <t>El profesional de Seguridad de la Información realiza capacitaciones en temas relacionados a Seguridad de la Información y alineano al Plan de Capacitación Institucional</t>
  </si>
  <si>
    <t>https://itceduco-my.sharepoint.com/:f:/g/personal/seguridaddigital_itc_edu_co/EiC49fyxHOlElnU8OriO0jYBCFdZY86h-Cau_e-UvAg8vA?e=3teIQo</t>
  </si>
  <si>
    <t>El profesional de continuidad de servicio establece un plan formal que garantice la continuidad de las actividades críticas mediante la designación de personal alterno capacitado, documentación de procesos y mecanismos de transferencia de conocimiento.</t>
  </si>
  <si>
    <t>https://itceduco-my.sharepoint.com/:x:/g/personal/seguridaddigital_itc_edu_co/ERWKhscw4L1As8WJjIqXm1wBw5suzKO0k_dxZXbf2hVRMQ?e=kx0NlF</t>
  </si>
  <si>
    <t>El profesional de Seguridad de la Información, El líder de informática y telecomunicaciones y el profesional de continuidad del negocio incluyen en su Plan de Sensibilización y Entrenamiento talleres y capacitaciones para fortalecer la competencia y formación de los funcionarios.</t>
  </si>
  <si>
    <t>El profesional de continuidad de servicio establece un protocolo de gestión de continuidad de servicios, que incluya acuerdos de nivel de servicio (SLA), planes de contingencia y canales de comunicación con proveedores para garantizar una respuesta oportuna ante interrupciones en la prestación del servicio hacia la ETITC.</t>
  </si>
  <si>
    <t>"1.	Programa de Auditorias: https://itceduco-my.sharepoint.com/:f:/g/personal/seguridaddigital_itc_edu_co/ElqWBeKLwrNIhyyyZKkau7wByewKccwSIsnxG4S65beoXw?e=22kR69
2.	Plan de pruebas: https://itceduco-my.sharepoint.com/:f:/g/personal/seguridaddigital_itc_edu_co/EtALee59y4tMgnH1a99ZgncBJGu6XL1PVoy5p9SfNZle-g?e=FJSW9G"</t>
  </si>
  <si>
    <t>"1.	PAA: https://itceduco-my.sharepoint.com/:f:/g/personal/seguridaddigital_itc_edu_co/Ei8f5TGhg29EtQ_OEQXLzScBno7OpWFJVSo_BGospsMmpg?e=RrUdCu
2.Contratación prestación servicios: CONTRATACION
3.Contratación análisis de Vulnerabilidades: FASE 2"</t>
  </si>
  <si>
    <t>"1.	Publicación en el sitio web: https://www.etitc.edu.co/es/page/nosotros&amp;seguridad-informacion
2.	Plan de Sensibilización y Entrenamiento: https://itceduco-my.sharepoint.com/:f:/g/personal/seguridaddigital_itc_edu_co/EiC49fyxHOlElnU8OriO0jYBCFdZY86h-Cau_e-UvAg8vA?e=3teIQo"</t>
  </si>
  <si>
    <t xml:space="preserve">https://itceduco-my.sharepoint.com/personal/seguridaddigital_itc_edu_co/Documents/Backup Angela/9. Mapa de riesgo/SEGUIMIENTO PRIMERA LINEA/../../../../../../:f:/g/personal/seguridaddigital_itc_edu_co/EtALee59y4tMgnH1a99ZgncBJGu6XL1PVoy5p9SfNZle-g?e=FJSW9G </t>
  </si>
  <si>
    <t>El profesional de Seguridad de la informacion establece una política institucional de gestión de usuarios que defina lineamientos claros para la asignación de roles y responsabilidades en los sistemas de información, incluyendo criterios de acceso, niveles de privilegio y validación periódica, bajo la supervisión del área de tecnología y seguridad de la información</t>
  </si>
  <si>
    <t>El profesional de Seguridad de la Información valida la desconexión de usuarios (retirados y/o depuración de correos) con el fin de controlar permisos de acceso o denegación de servicio.</t>
  </si>
  <si>
    <t>El profesional del proceso de  Gestión de Informática y comunicaciones, otoga los permisos de acuerdo de acuerdo con el desarrollo de sus actividades y solicitud del jefe y/o supervisor</t>
  </si>
  <si>
    <t>El profesional de Seguridad de la Información realiza la identificación de la existencia de infraestructura tecnológica sin apoyo y/o custodia del proceso de informática y comunicaciones</t>
  </si>
  <si>
    <t>https://itceduco-my.sharepoint.com/:x:/g/personal/seguridaddigital_itc_edu_co/Ecmk9iwxLo1HnyHKqSnDB-QBEx2vDY0Hvi1wYUIIrycPtQ?e=WR7byu</t>
  </si>
  <si>
    <t>Reporte GLPI:  
CONTROL ASIGNACIÓN DE ACCESO A LOS SISTEMAS DE INFORMACIÓN..csv</t>
  </si>
  <si>
    <t xml:space="preserve">Exclusiones;
Análisis de vulnerabilidades contrato 029-2025 </t>
  </si>
  <si>
    <t xml:space="preserve"> El profesional de Seguridad de la Información debe realizar la verificación de accesos a URLs, permitidos en la navegación web de las estaciones administrativas,  inlcuído acceso a WhatsAap Web.</t>
  </si>
  <si>
    <t xml:space="preserve"> El profesional de Seguridad de la Información incluye en su Plan de Sensibilización y Entrenamiento talleres y capacitaciones para fortalecer la competencia y formación de los funcionarios.</t>
  </si>
  <si>
    <t>El profesional de Seguridad de la Información debe establecer un proceso de evaluación técnica y de compatibilidad previo a la contratación o renovación de proveedores de servicios tecnológicos, asegurando que los sistemas operativos y canales de conectividad ofrecidos sean plenamente compatibles con la infraestructura tecnológica existente en la Escuela</t>
  </si>
  <si>
    <t>1.	PAA: https://itceduco-my.sharepoint.com/:f:/g/personal/seguridaddigital_itc_edu_co/Ei8f5TGhg29EtQ_OEQXLzScBno7OpWFJVSo_BGospsMmpg?e=RrUdCu
2.	Contratación prestación servicios: CONTRATACION
3.	Contratación análisis de Vulnerabilidades: FASE 2</t>
  </si>
  <si>
    <t>Exclusiones</t>
  </si>
  <si>
    <t xml:space="preserve"> El profesional de Seguridad de la información establece una política institucional de gestión de usuarios que defina lineamientos claros para la asignación de roles y responsabilidades en los sistemas de información, incluyendo criterios de acceso, niveles de privilegio y validación periódica, bajo la supervisión del área de tecnología y seguridad de la información.</t>
  </si>
  <si>
    <t>El profesional de Seguridad de la Información realizar actividades de toma de conciencia, educación y formación en la seguridad de la información - técnicas de Ingeniería social (spam, phishing, fakemailing, entre otros.)</t>
  </si>
  <si>
    <t>El profesional de Seguridad de la Información realizar actividades de toma de conciencia, educación y formación en la seguridad de la información Manejo inadecuado de contraseñas.</t>
  </si>
  <si>
    <t xml:space="preserve"> El profesional de Continuidad del servicio en conjunto con el profesional de Habeas data elaboran una política institucional de ciberseguridad, lineamientos de protección de datos personales y el cumplimiento del reporte de bases de datos ante la Superintendencia de Industria y Comercio (SIC)</t>
  </si>
  <si>
    <t>1.	Publicación en el sitio web: https://www.etitc.edu.co/es/page/nosotros&amp;seguridad-informacion
2.	Plan de Sensibilización y Entrenamiento: https://itceduco-my.sharepoint.com/:f:/g/personal/seguridaddigital_itc_edu_co/EiC49fyxHOlElnU8OriO0jYBCFdZY86h-Cau_e-UvAg8vA?e=3teIQo</t>
  </si>
  <si>
    <t xml:space="preserve">
1.	Política de protección: 11. HABEAS DATA
2.	 Plan de sensibilización: https://itceduco-my.sharepoint.com/:f:/g/personal/seguridaddigital_itc_edu_co/EiC49fyxHOlElnU8OriO0jYBCFdZY86h-Cau_e-UvAg8vA?e=3teIQo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</si>
</sst>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yyyy\-mm\-dd;@"/>
  </numFmts>
  <fonts count="119"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b/>
      <sz val="10"/>
      <name val="Arial"/>
      <family val="2"/>
    </font>
    <font>
      <b/>
      <sz val="12"/>
      <color rgb="FF000000"/>
      <name val="Arial"/>
      <family val="2"/>
    </font>
    <font>
      <b/>
      <sz val="12"/>
      <name val="Arial"/>
      <family val="2"/>
    </font>
    <font>
      <sz val="6"/>
      <color theme="1"/>
      <name val="Arial"/>
      <family val="2"/>
    </font>
    <font>
      <b/>
      <sz val="14"/>
      <color rgb="FF000000"/>
      <name val="Arial"/>
      <family val="2"/>
    </font>
    <font>
      <sz val="14"/>
      <color rgb="FF000000"/>
      <name val="Arial"/>
      <family val="2"/>
    </font>
    <font>
      <b/>
      <sz val="11"/>
      <color theme="0"/>
      <name val="Calibri"/>
      <family val="2"/>
      <scheme val="minor"/>
    </font>
    <font>
      <b/>
      <sz val="11"/>
      <color theme="1"/>
      <name val="Calibri"/>
      <family val="2"/>
      <scheme val="minor"/>
    </font>
    <font>
      <b/>
      <sz val="5"/>
      <color rgb="FF000000"/>
      <name val="Arial"/>
      <family val="2"/>
    </font>
    <font>
      <b/>
      <sz val="6"/>
      <color rgb="FF000000"/>
      <name val="Arial"/>
      <family val="2"/>
    </font>
    <font>
      <b/>
      <sz val="11"/>
      <color rgb="FF292929"/>
      <name val="Arial"/>
      <family val="2"/>
    </font>
    <font>
      <sz val="11"/>
      <color theme="1"/>
      <name val="Arial"/>
      <family val="2"/>
    </font>
    <font>
      <b/>
      <sz val="8"/>
      <color theme="1"/>
      <name val="Arial"/>
      <family val="2"/>
    </font>
    <font>
      <b/>
      <sz val="5"/>
      <color theme="1"/>
      <name val="Arial"/>
      <family val="2"/>
    </font>
    <font>
      <b/>
      <sz val="6"/>
      <color theme="1"/>
      <name val="Arial"/>
      <family val="2"/>
    </font>
    <font>
      <b/>
      <sz val="9"/>
      <color rgb="FF292929"/>
      <name val="Arial"/>
      <family val="2"/>
    </font>
    <font>
      <b/>
      <sz val="11"/>
      <color theme="0"/>
      <name val="Arial"/>
      <family val="2"/>
    </font>
    <font>
      <sz val="10"/>
      <color theme="1"/>
      <name val="Arial"/>
      <family val="2"/>
    </font>
    <font>
      <b/>
      <sz val="10"/>
      <color theme="0"/>
      <name val="Arial"/>
      <family val="2"/>
    </font>
    <font>
      <b/>
      <sz val="10"/>
      <color theme="1"/>
      <name val="Arial"/>
      <family val="2"/>
    </font>
    <font>
      <b/>
      <u/>
      <sz val="10"/>
      <color theme="1"/>
      <name val="Arial"/>
      <family val="2"/>
    </font>
    <font>
      <i/>
      <sz val="9"/>
      <color rgb="FF000000"/>
      <name val="Arial"/>
      <family val="2"/>
    </font>
    <font>
      <b/>
      <sz val="11"/>
      <color theme="1"/>
      <name val="Arial"/>
      <family val="2"/>
    </font>
    <font>
      <b/>
      <sz val="11"/>
      <color rgb="FF000000"/>
      <name val="Arial"/>
      <family val="2"/>
    </font>
    <font>
      <b/>
      <sz val="5"/>
      <color rgb="FF000000"/>
      <name val="Arial"/>
      <family val="2"/>
    </font>
    <font>
      <b/>
      <sz val="10"/>
      <color rgb="FF000000"/>
      <name val="Arial"/>
      <family val="2"/>
    </font>
    <font>
      <b/>
      <sz val="8"/>
      <color rgb="FF000000"/>
      <name val="Arial"/>
      <family val="2"/>
    </font>
    <font>
      <b/>
      <sz val="11"/>
      <color theme="1"/>
      <name val="Times New Roman"/>
      <family val="1"/>
    </font>
    <font>
      <b/>
      <sz val="11"/>
      <color theme="0"/>
      <name val="Times New Roman"/>
      <family val="1"/>
    </font>
    <font>
      <sz val="11"/>
      <color theme="0"/>
      <name val="Times New Roman"/>
      <family val="1"/>
    </font>
    <font>
      <sz val="11"/>
      <color rgb="FF7030A0"/>
      <name val="Calibri"/>
      <family val="2"/>
      <scheme val="minor"/>
    </font>
    <font>
      <b/>
      <sz val="16"/>
      <color rgb="FF7030A0"/>
      <name val="Times New Roman"/>
      <family val="1"/>
    </font>
    <font>
      <b/>
      <sz val="18"/>
      <color theme="0"/>
      <name val="Arial"/>
      <family val="2"/>
    </font>
    <font>
      <b/>
      <sz val="12"/>
      <color theme="0"/>
      <name val="Arial"/>
      <family val="2"/>
    </font>
    <font>
      <sz val="9"/>
      <color indexed="81"/>
      <name val="Tahoma"/>
      <family val="2"/>
    </font>
    <font>
      <b/>
      <sz val="9"/>
      <color indexed="81"/>
      <name val="Tahoma"/>
      <family val="2"/>
    </font>
    <font>
      <b/>
      <sz val="12"/>
      <color theme="0"/>
      <name val="Arial Black"/>
      <family val="2"/>
    </font>
    <font>
      <b/>
      <sz val="22"/>
      <color rgb="FF000000"/>
      <name val="Arial"/>
      <family val="2"/>
    </font>
    <font>
      <b/>
      <sz val="18"/>
      <name val="Arial"/>
      <family val="2"/>
    </font>
    <font>
      <sz val="11"/>
      <color theme="0"/>
      <name val="Arial"/>
      <family val="2"/>
    </font>
    <font>
      <sz val="11"/>
      <name val="Arial"/>
      <family val="2"/>
    </font>
    <font>
      <sz val="14"/>
      <name val="Arial"/>
      <family val="2"/>
    </font>
    <font>
      <b/>
      <sz val="14"/>
      <name val="Arial"/>
      <family val="2"/>
    </font>
    <font>
      <sz val="12"/>
      <color theme="0"/>
      <name val="Arial Black"/>
      <family val="2"/>
    </font>
    <font>
      <b/>
      <sz val="11"/>
      <color rgb="FFC00000"/>
      <name val="Arial"/>
      <family val="2"/>
    </font>
    <font>
      <sz val="11"/>
      <color theme="9"/>
      <name val="Arial"/>
      <family val="2"/>
    </font>
    <font>
      <b/>
      <sz val="11"/>
      <name val="Arial"/>
      <family val="2"/>
    </font>
    <font>
      <sz val="10"/>
      <color theme="1"/>
      <name val="Arial Narrow"/>
      <family val="2"/>
    </font>
    <font>
      <sz val="8"/>
      <color theme="1"/>
      <name val="Arial"/>
      <family val="2"/>
    </font>
    <font>
      <sz val="11"/>
      <color rgb="FFFF0000"/>
      <name val="Arial Narrow"/>
      <family val="2"/>
    </font>
    <font>
      <sz val="11"/>
      <color rgb="FFFF0000"/>
      <name val="Arial"/>
      <family val="2"/>
    </font>
    <font>
      <sz val="10"/>
      <color rgb="FFFF0000"/>
      <name val="Arial"/>
      <family val="2"/>
    </font>
    <font>
      <b/>
      <sz val="10"/>
      <color rgb="FFFF0000"/>
      <name val="Arial"/>
      <family val="2"/>
    </font>
    <font>
      <b/>
      <sz val="11"/>
      <color rgb="FFFF0000"/>
      <name val="Arial"/>
      <family val="2"/>
    </font>
    <font>
      <b/>
      <sz val="11"/>
      <color rgb="FFFF9900"/>
      <name val="Calibri"/>
      <family val="2"/>
      <scheme val="minor"/>
    </font>
    <font>
      <b/>
      <sz val="22"/>
      <color rgb="FF000000"/>
      <name val="Calibri"/>
      <family val="2"/>
    </font>
    <font>
      <b/>
      <sz val="22"/>
      <name val="Calibri"/>
      <family val="2"/>
    </font>
    <font>
      <b/>
      <sz val="10"/>
      <color theme="1"/>
      <name val="Arial Narrow"/>
      <family val="2"/>
    </font>
    <font>
      <sz val="11"/>
      <color rgb="FF000000"/>
      <name val="Arial"/>
      <family val="2"/>
    </font>
    <font>
      <sz val="11"/>
      <color rgb="FF1F497D"/>
      <name val="Arial"/>
      <family val="2"/>
    </font>
    <font>
      <b/>
      <sz val="12"/>
      <color rgb="FF287840"/>
      <name val="Arial"/>
      <family val="2"/>
    </font>
    <font>
      <sz val="11"/>
      <color theme="9" tint="-0.249977111117893"/>
      <name val="Arial"/>
      <family val="2"/>
    </font>
    <font>
      <u/>
      <sz val="11"/>
      <color theme="10"/>
      <name val="Calibri"/>
      <family val="2"/>
      <scheme val="minor"/>
    </font>
    <font>
      <sz val="11"/>
      <color rgb="FF000000"/>
      <name val="Aptos Narrow"/>
      <family val="2"/>
    </font>
  </fonts>
  <fills count="2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26783C"/>
        <bgColor indexed="64"/>
      </patternFill>
    </fill>
    <fill>
      <patternFill patternType="solid">
        <fgColor theme="0" tint="-0.14999847407452621"/>
        <bgColor indexed="64"/>
      </patternFill>
    </fill>
    <fill>
      <patternFill patternType="solid">
        <fgColor rgb="FF287840"/>
        <bgColor indexed="64"/>
      </patternFill>
    </fill>
    <fill>
      <patternFill patternType="solid">
        <fgColor theme="0" tint="-0.499984740745262"/>
        <bgColor indexed="64"/>
      </patternFill>
    </fill>
    <fill>
      <patternFill patternType="solid">
        <fgColor rgb="FFB4B3B6"/>
        <bgColor indexed="64"/>
      </patternFill>
    </fill>
    <fill>
      <patternFill patternType="solid">
        <fgColor theme="0"/>
        <bgColor rgb="FF000000"/>
      </patternFill>
    </fill>
  </fills>
  <borders count="119">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style="thin">
        <color auto="1"/>
      </right>
      <top/>
      <bottom style="thin">
        <color auto="1"/>
      </bottom>
      <diagonal/>
    </border>
    <border>
      <left style="thin">
        <color auto="1"/>
      </left>
      <right/>
      <top/>
      <bottom style="thin">
        <color auto="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medium">
        <color rgb="FF000000"/>
      </left>
      <right style="thin">
        <color indexed="64"/>
      </right>
      <top style="medium">
        <color rgb="FF000000"/>
      </top>
      <bottom/>
      <diagonal/>
    </border>
    <border>
      <left style="thin">
        <color rgb="FF4B514E"/>
      </left>
      <right/>
      <top style="thin">
        <color rgb="FF4B514E"/>
      </top>
      <bottom/>
      <diagonal/>
    </border>
    <border>
      <left/>
      <right style="thin">
        <color indexed="64"/>
      </right>
      <top style="thin">
        <color rgb="FF4B514E"/>
      </top>
      <bottom/>
      <diagonal/>
    </border>
    <border>
      <left style="medium">
        <color rgb="FF000000"/>
      </left>
      <right style="thin">
        <color indexed="64"/>
      </right>
      <top/>
      <bottom/>
      <diagonal/>
    </border>
    <border>
      <left style="thin">
        <color rgb="FF4B514E"/>
      </left>
      <right/>
      <top/>
      <bottom/>
      <diagonal/>
    </border>
    <border>
      <left/>
      <right style="thin">
        <color indexed="64"/>
      </right>
      <top/>
      <bottom/>
      <diagonal/>
    </border>
    <border>
      <left style="medium">
        <color rgb="FF000000"/>
      </left>
      <right style="thin">
        <color indexed="64"/>
      </right>
      <top/>
      <bottom style="medium">
        <color rgb="FF000000"/>
      </bottom>
      <diagonal/>
    </border>
    <border>
      <left style="thin">
        <color rgb="FF4B514E"/>
      </left>
      <right/>
      <top/>
      <bottom style="thin">
        <color rgb="FF4B514E"/>
      </bottom>
      <diagonal/>
    </border>
    <border>
      <left/>
      <right style="thin">
        <color indexed="64"/>
      </right>
      <top/>
      <bottom style="thin">
        <color rgb="FF4B514E"/>
      </bottom>
      <diagonal/>
    </border>
    <border>
      <left style="thin">
        <color rgb="FF4B514E"/>
      </left>
      <right style="thin">
        <color rgb="FF4B514E"/>
      </right>
      <top style="thin">
        <color rgb="FF4B514E"/>
      </top>
      <bottom style="thin">
        <color rgb="FF4B514E"/>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000000"/>
      </left>
      <right/>
      <top/>
      <bottom/>
      <diagonal/>
    </border>
    <border>
      <left/>
      <right style="thin">
        <color rgb="FF4B514E"/>
      </right>
      <top/>
      <bottom/>
      <diagonal/>
    </border>
    <border>
      <left/>
      <right style="thin">
        <color rgb="FF4B514E"/>
      </right>
      <top style="medium">
        <color indexed="64"/>
      </top>
      <bottom/>
      <diagonal/>
    </border>
    <border>
      <left style="thin">
        <color rgb="FF4B514E"/>
      </left>
      <right/>
      <top style="medium">
        <color indexed="64"/>
      </top>
      <bottom/>
      <diagonal/>
    </border>
    <border>
      <left/>
      <right style="thin">
        <color rgb="FF4B514E"/>
      </right>
      <top/>
      <bottom style="medium">
        <color indexed="64"/>
      </bottom>
      <diagonal/>
    </border>
    <border>
      <left style="thin">
        <color rgb="FF4B514E"/>
      </left>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thin">
        <color auto="1"/>
      </left>
      <right/>
      <top style="thin">
        <color auto="1"/>
      </top>
      <bottom/>
      <diagonal/>
    </border>
    <border>
      <left/>
      <right style="thin">
        <color indexed="64"/>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ck">
        <color auto="1"/>
      </top>
      <bottom/>
      <diagonal/>
    </border>
    <border>
      <left/>
      <right style="dashed">
        <color theme="9" tint="-0.24994659260841701"/>
      </right>
      <top style="thin">
        <color indexed="64"/>
      </top>
      <bottom style="dashed">
        <color theme="9" tint="-0.24994659260841701"/>
      </bottom>
      <diagonal/>
    </border>
    <border>
      <left/>
      <right/>
      <top style="thin">
        <color indexed="64"/>
      </top>
      <bottom style="dashed">
        <color theme="9" tint="-0.24994659260841701"/>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
    <xf numFmtId="0" fontId="0" fillId="0" borderId="0"/>
    <xf numFmtId="9" fontId="13" fillId="0" borderId="0" applyFont="0" applyFill="0" applyBorder="0" applyAlignment="0" applyProtection="0"/>
    <xf numFmtId="0" fontId="44" fillId="0" borderId="0"/>
    <xf numFmtId="0" fontId="45" fillId="0" borderId="0"/>
    <xf numFmtId="0" fontId="5" fillId="0" borderId="0"/>
    <xf numFmtId="0" fontId="117" fillId="0" borderId="0" applyNumberFormat="0" applyFill="0" applyBorder="0" applyAlignment="0" applyProtection="0"/>
  </cellStyleXfs>
  <cellXfs count="1019">
    <xf numFmtId="0" fontId="0" fillId="0" borderId="0" xfId="0"/>
    <xf numFmtId="0" fontId="5" fillId="0" borderId="0" xfId="0" applyFont="1"/>
    <xf numFmtId="0" fontId="3" fillId="0" borderId="1" xfId="0" applyFont="1" applyBorder="1" applyAlignment="1">
      <alignment horizontal="left" vertical="center" wrapText="1" indent="1" readingOrder="1"/>
    </xf>
    <xf numFmtId="0" fontId="7" fillId="0" borderId="0" xfId="0" applyFont="1" applyAlignment="1">
      <alignment horizontal="center" vertical="center" wrapText="1"/>
    </xf>
    <xf numFmtId="0" fontId="8" fillId="6" borderId="0" xfId="0" applyFont="1" applyFill="1" applyAlignment="1">
      <alignment horizontal="center" vertical="center" wrapText="1" readingOrder="1"/>
    </xf>
    <xf numFmtId="0" fontId="9" fillId="5" borderId="4" xfId="0" applyFont="1" applyFill="1" applyBorder="1" applyAlignment="1">
      <alignment horizontal="center" vertical="center" wrapText="1" readingOrder="1"/>
    </xf>
    <xf numFmtId="0" fontId="9" fillId="0" borderId="4" xfId="0" applyFont="1" applyBorder="1" applyAlignment="1">
      <alignment horizontal="justify" vertical="center" wrapText="1" readingOrder="1"/>
    </xf>
    <xf numFmtId="9" fontId="9" fillId="0" borderId="4" xfId="0" applyNumberFormat="1" applyFont="1" applyBorder="1" applyAlignment="1">
      <alignment horizontal="center" vertical="center" wrapText="1" readingOrder="1"/>
    </xf>
    <xf numFmtId="0" fontId="9" fillId="7" borderId="1" xfId="0" applyFont="1" applyFill="1" applyBorder="1" applyAlignment="1">
      <alignment horizontal="center" vertical="center" wrapText="1" readingOrder="1"/>
    </xf>
    <xf numFmtId="0" fontId="9" fillId="0" borderId="1" xfId="0" applyFont="1" applyBorder="1" applyAlignment="1">
      <alignment horizontal="justify" vertical="center" wrapText="1" readingOrder="1"/>
    </xf>
    <xf numFmtId="9" fontId="9" fillId="0" borderId="1" xfId="0" applyNumberFormat="1" applyFont="1" applyBorder="1" applyAlignment="1">
      <alignment horizontal="center" vertical="center" wrapText="1" readingOrder="1"/>
    </xf>
    <xf numFmtId="0" fontId="9" fillId="4" borderId="1" xfId="0" applyFont="1" applyFill="1" applyBorder="1" applyAlignment="1">
      <alignment horizontal="center" vertical="center" wrapText="1" readingOrder="1"/>
    </xf>
    <xf numFmtId="0" fontId="9" fillId="8" borderId="1" xfId="0" applyFont="1" applyFill="1" applyBorder="1" applyAlignment="1">
      <alignment horizontal="center" vertical="center" wrapText="1" readingOrder="1"/>
    </xf>
    <xf numFmtId="0" fontId="10" fillId="9" borderId="1" xfId="0" applyFont="1" applyFill="1" applyBorder="1" applyAlignment="1">
      <alignment horizontal="center" vertical="center" wrapText="1" readingOrder="1"/>
    </xf>
    <xf numFmtId="0" fontId="14" fillId="0" borderId="0" xfId="0" applyFont="1"/>
    <xf numFmtId="0" fontId="12" fillId="0" borderId="0" xfId="0" applyFont="1"/>
    <xf numFmtId="0" fontId="25" fillId="0" borderId="0" xfId="0" applyFont="1" applyAlignment="1">
      <alignment vertical="center"/>
    </xf>
    <xf numFmtId="0" fontId="26" fillId="0" borderId="0" xfId="0" applyFont="1"/>
    <xf numFmtId="0" fontId="24" fillId="0" borderId="0" xfId="0" applyFont="1"/>
    <xf numFmtId="0" fontId="0" fillId="0" borderId="0" xfId="0" pivotButton="1"/>
    <xf numFmtId="0" fontId="11" fillId="0" borderId="0" xfId="0" applyFont="1" applyAlignment="1">
      <alignment horizontal="justify" vertical="center" wrapText="1" readingOrder="1"/>
    </xf>
    <xf numFmtId="0" fontId="27" fillId="0" borderId="0" xfId="0" applyFont="1"/>
    <xf numFmtId="0" fontId="29" fillId="6" borderId="0" xfId="0" applyFont="1" applyFill="1" applyAlignment="1">
      <alignment horizontal="center" vertical="center" wrapText="1" readingOrder="1"/>
    </xf>
    <xf numFmtId="0" fontId="30" fillId="0" borderId="4" xfId="0" applyFont="1" applyBorder="1" applyAlignment="1">
      <alignment horizontal="justify" vertical="center" wrapText="1" readingOrder="1"/>
    </xf>
    <xf numFmtId="0" fontId="30" fillId="0" borderId="1" xfId="0" applyFont="1" applyBorder="1" applyAlignment="1">
      <alignment horizontal="justify" vertical="center" wrapText="1" readingOrder="1"/>
    </xf>
    <xf numFmtId="0" fontId="30" fillId="5" borderId="4" xfId="0" applyFont="1" applyFill="1" applyBorder="1" applyAlignment="1">
      <alignment horizontal="center" vertical="center" wrapText="1" readingOrder="1"/>
    </xf>
    <xf numFmtId="0" fontId="30" fillId="7" borderId="1" xfId="0" applyFont="1" applyFill="1" applyBorder="1" applyAlignment="1">
      <alignment horizontal="center" vertical="center" wrapText="1" readingOrder="1"/>
    </xf>
    <xf numFmtId="0" fontId="30" fillId="4" borderId="1" xfId="0" applyFont="1" applyFill="1" applyBorder="1" applyAlignment="1">
      <alignment horizontal="center" vertical="center" wrapText="1" readingOrder="1"/>
    </xf>
    <xf numFmtId="0" fontId="30" fillId="8" borderId="1" xfId="0" applyFont="1" applyFill="1" applyBorder="1" applyAlignment="1">
      <alignment horizontal="center" vertical="center" wrapText="1" readingOrder="1"/>
    </xf>
    <xf numFmtId="0" fontId="31" fillId="9" borderId="1" xfId="0" applyFont="1" applyFill="1" applyBorder="1" applyAlignment="1">
      <alignment horizontal="center" vertical="center" wrapText="1" readingOrder="1"/>
    </xf>
    <xf numFmtId="0" fontId="30" fillId="0" borderId="4" xfId="0" applyFont="1" applyBorder="1" applyAlignment="1">
      <alignment horizontal="center" vertical="center" wrapText="1" readingOrder="1"/>
    </xf>
    <xf numFmtId="0" fontId="30" fillId="0" borderId="1" xfId="0" applyFont="1" applyBorder="1" applyAlignment="1">
      <alignment horizontal="center" vertical="center" wrapText="1" readingOrder="1"/>
    </xf>
    <xf numFmtId="0" fontId="18" fillId="11" borderId="5" xfId="0" applyFont="1" applyFill="1" applyBorder="1" applyAlignment="1" applyProtection="1">
      <alignment horizontal="center" vertical="center" wrapText="1" readingOrder="1"/>
      <protection hidden="1"/>
    </xf>
    <xf numFmtId="0" fontId="18" fillId="11" borderId="12" xfId="0" applyFont="1" applyFill="1" applyBorder="1" applyAlignment="1" applyProtection="1">
      <alignment horizontal="center" vertical="center" wrapText="1" readingOrder="1"/>
      <protection hidden="1"/>
    </xf>
    <xf numFmtId="0" fontId="18" fillId="11" borderId="6" xfId="0" applyFont="1" applyFill="1" applyBorder="1" applyAlignment="1" applyProtection="1">
      <alignment horizontal="center" vertical="center" wrapText="1" readingOrder="1"/>
      <protection hidden="1"/>
    </xf>
    <xf numFmtId="0" fontId="18" fillId="12" borderId="5" xfId="0" applyFont="1" applyFill="1" applyBorder="1" applyAlignment="1" applyProtection="1">
      <alignment horizontal="center" wrapText="1" readingOrder="1"/>
      <protection hidden="1"/>
    </xf>
    <xf numFmtId="0" fontId="18" fillId="12" borderId="12" xfId="0" applyFont="1" applyFill="1" applyBorder="1" applyAlignment="1" applyProtection="1">
      <alignment horizontal="center" wrapText="1" readingOrder="1"/>
      <protection hidden="1"/>
    </xf>
    <xf numFmtId="0" fontId="18" fillId="12" borderId="6" xfId="0" applyFont="1" applyFill="1" applyBorder="1" applyAlignment="1" applyProtection="1">
      <alignment horizontal="center" wrapText="1" readingOrder="1"/>
      <protection hidden="1"/>
    </xf>
    <xf numFmtId="0" fontId="18" fillId="11" borderId="7" xfId="0" applyFont="1" applyFill="1" applyBorder="1" applyAlignment="1" applyProtection="1">
      <alignment horizontal="center" vertical="center" wrapText="1" readingOrder="1"/>
      <protection hidden="1"/>
    </xf>
    <xf numFmtId="0" fontId="18" fillId="11" borderId="0" xfId="0" applyFont="1" applyFill="1" applyAlignment="1" applyProtection="1">
      <alignment horizontal="center" vertical="center" wrapText="1" readingOrder="1"/>
      <protection hidden="1"/>
    </xf>
    <xf numFmtId="0" fontId="18" fillId="11" borderId="8" xfId="0" applyFont="1" applyFill="1" applyBorder="1" applyAlignment="1" applyProtection="1">
      <alignment horizontal="center" vertical="center" wrapText="1" readingOrder="1"/>
      <protection hidden="1"/>
    </xf>
    <xf numFmtId="0" fontId="18" fillId="12" borderId="7" xfId="0" applyFont="1" applyFill="1" applyBorder="1" applyAlignment="1" applyProtection="1">
      <alignment horizontal="center" wrapText="1" readingOrder="1"/>
      <protection hidden="1"/>
    </xf>
    <xf numFmtId="0" fontId="18" fillId="12" borderId="0" xfId="0" applyFont="1" applyFill="1" applyAlignment="1" applyProtection="1">
      <alignment horizontal="center" wrapText="1" readingOrder="1"/>
      <protection hidden="1"/>
    </xf>
    <xf numFmtId="0" fontId="18" fillId="12" borderId="8" xfId="0" applyFont="1" applyFill="1" applyBorder="1" applyAlignment="1" applyProtection="1">
      <alignment horizontal="center" wrapText="1" readingOrder="1"/>
      <protection hidden="1"/>
    </xf>
    <xf numFmtId="0" fontId="18" fillId="11" borderId="9" xfId="0" applyFont="1" applyFill="1" applyBorder="1" applyAlignment="1" applyProtection="1">
      <alignment horizontal="center" vertical="center" wrapText="1" readingOrder="1"/>
      <protection hidden="1"/>
    </xf>
    <xf numFmtId="0" fontId="18" fillId="11" borderId="11" xfId="0" applyFont="1" applyFill="1" applyBorder="1" applyAlignment="1" applyProtection="1">
      <alignment horizontal="center" vertical="center" wrapText="1" readingOrder="1"/>
      <protection hidden="1"/>
    </xf>
    <xf numFmtId="0" fontId="18" fillId="11" borderId="10" xfId="0" applyFont="1" applyFill="1" applyBorder="1" applyAlignment="1" applyProtection="1">
      <alignment horizontal="center" vertical="center" wrapText="1" readingOrder="1"/>
      <protection hidden="1"/>
    </xf>
    <xf numFmtId="0" fontId="18" fillId="12" borderId="9" xfId="0" applyFont="1" applyFill="1" applyBorder="1" applyAlignment="1" applyProtection="1">
      <alignment horizontal="center" wrapText="1" readingOrder="1"/>
      <protection hidden="1"/>
    </xf>
    <xf numFmtId="0" fontId="18" fillId="12" borderId="11" xfId="0" applyFont="1" applyFill="1" applyBorder="1" applyAlignment="1" applyProtection="1">
      <alignment horizontal="center" wrapText="1" readingOrder="1"/>
      <protection hidden="1"/>
    </xf>
    <xf numFmtId="0" fontId="18" fillId="12" borderId="10" xfId="0" applyFont="1" applyFill="1" applyBorder="1" applyAlignment="1" applyProtection="1">
      <alignment horizontal="center" wrapText="1" readingOrder="1"/>
      <protection hidden="1"/>
    </xf>
    <xf numFmtId="0" fontId="18" fillId="13" borderId="5" xfId="0" applyFont="1" applyFill="1" applyBorder="1" applyAlignment="1" applyProtection="1">
      <alignment horizontal="center" wrapText="1" readingOrder="1"/>
      <protection hidden="1"/>
    </xf>
    <xf numFmtId="0" fontId="18" fillId="13" borderId="12" xfId="0" applyFont="1" applyFill="1" applyBorder="1" applyAlignment="1" applyProtection="1">
      <alignment horizontal="center" wrapText="1" readingOrder="1"/>
      <protection hidden="1"/>
    </xf>
    <xf numFmtId="0" fontId="18" fillId="13" borderId="6" xfId="0" applyFont="1" applyFill="1" applyBorder="1" applyAlignment="1" applyProtection="1">
      <alignment horizontal="center" wrapText="1" readingOrder="1"/>
      <protection hidden="1"/>
    </xf>
    <xf numFmtId="0" fontId="18" fillId="13" borderId="7" xfId="0" applyFont="1" applyFill="1" applyBorder="1" applyAlignment="1" applyProtection="1">
      <alignment horizontal="center" wrapText="1" readingOrder="1"/>
      <protection hidden="1"/>
    </xf>
    <xf numFmtId="0" fontId="18" fillId="13" borderId="0" xfId="0" applyFont="1" applyFill="1" applyAlignment="1" applyProtection="1">
      <alignment horizontal="center" wrapText="1" readingOrder="1"/>
      <protection hidden="1"/>
    </xf>
    <xf numFmtId="0" fontId="18" fillId="13" borderId="8" xfId="0" applyFont="1" applyFill="1" applyBorder="1" applyAlignment="1" applyProtection="1">
      <alignment horizontal="center" wrapText="1" readingOrder="1"/>
      <protection hidden="1"/>
    </xf>
    <xf numFmtId="0" fontId="18" fillId="13" borderId="9" xfId="0" applyFont="1" applyFill="1" applyBorder="1" applyAlignment="1" applyProtection="1">
      <alignment horizontal="center" wrapText="1" readingOrder="1"/>
      <protection hidden="1"/>
    </xf>
    <xf numFmtId="0" fontId="18" fillId="13" borderId="11" xfId="0" applyFont="1" applyFill="1" applyBorder="1" applyAlignment="1" applyProtection="1">
      <alignment horizontal="center" wrapText="1" readingOrder="1"/>
      <protection hidden="1"/>
    </xf>
    <xf numFmtId="0" fontId="18" fillId="13" borderId="10" xfId="0" applyFont="1" applyFill="1" applyBorder="1" applyAlignment="1" applyProtection="1">
      <alignment horizontal="center" wrapText="1" readingOrder="1"/>
      <protection hidden="1"/>
    </xf>
    <xf numFmtId="0" fontId="18" fillId="5" borderId="5" xfId="0" applyFont="1" applyFill="1" applyBorder="1" applyAlignment="1" applyProtection="1">
      <alignment horizontal="center" wrapText="1" readingOrder="1"/>
      <protection hidden="1"/>
    </xf>
    <xf numFmtId="0" fontId="18" fillId="5" borderId="12" xfId="0" applyFont="1" applyFill="1" applyBorder="1" applyAlignment="1" applyProtection="1">
      <alignment horizontal="center" wrapText="1" readingOrder="1"/>
      <protection hidden="1"/>
    </xf>
    <xf numFmtId="0" fontId="18" fillId="5" borderId="6" xfId="0" applyFont="1" applyFill="1" applyBorder="1" applyAlignment="1" applyProtection="1">
      <alignment horizontal="center" wrapText="1" readingOrder="1"/>
      <protection hidden="1"/>
    </xf>
    <xf numFmtId="0" fontId="18" fillId="5" borderId="7" xfId="0" applyFont="1" applyFill="1" applyBorder="1" applyAlignment="1" applyProtection="1">
      <alignment horizontal="center" wrapText="1" readingOrder="1"/>
      <protection hidden="1"/>
    </xf>
    <xf numFmtId="0" fontId="18" fillId="5" borderId="0" xfId="0" applyFont="1" applyFill="1" applyAlignment="1" applyProtection="1">
      <alignment horizontal="center" wrapText="1" readingOrder="1"/>
      <protection hidden="1"/>
    </xf>
    <xf numFmtId="0" fontId="18" fillId="5" borderId="8" xfId="0" applyFont="1" applyFill="1" applyBorder="1" applyAlignment="1" applyProtection="1">
      <alignment horizontal="center" wrapText="1" readingOrder="1"/>
      <protection hidden="1"/>
    </xf>
    <xf numFmtId="0" fontId="18" fillId="5" borderId="9" xfId="0" applyFont="1" applyFill="1" applyBorder="1" applyAlignment="1" applyProtection="1">
      <alignment horizontal="center" wrapText="1" readingOrder="1"/>
      <protection hidden="1"/>
    </xf>
    <xf numFmtId="0" fontId="18" fillId="5" borderId="11" xfId="0" applyFont="1" applyFill="1" applyBorder="1" applyAlignment="1" applyProtection="1">
      <alignment horizontal="center" wrapText="1" readingOrder="1"/>
      <protection hidden="1"/>
    </xf>
    <xf numFmtId="0" fontId="18" fillId="5" borderId="10"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0" fillId="3" borderId="0" xfId="0" applyFill="1"/>
    <xf numFmtId="0" fontId="46" fillId="3" borderId="39" xfId="2" applyFont="1" applyFill="1" applyBorder="1"/>
    <xf numFmtId="0" fontId="46" fillId="3" borderId="40" xfId="2" applyFont="1" applyFill="1" applyBorder="1"/>
    <xf numFmtId="0" fontId="46" fillId="3" borderId="41" xfId="2" applyFont="1" applyFill="1" applyBorder="1"/>
    <xf numFmtId="0" fontId="15" fillId="3" borderId="0" xfId="0" applyFont="1" applyFill="1" applyAlignment="1">
      <alignment vertical="center"/>
    </xf>
    <xf numFmtId="0" fontId="5" fillId="3" borderId="0" xfId="0" applyFont="1" applyFill="1"/>
    <xf numFmtId="0" fontId="33" fillId="3" borderId="0" xfId="0" applyFont="1" applyFill="1"/>
    <xf numFmtId="0" fontId="34" fillId="3" borderId="22" xfId="0" applyFont="1" applyFill="1" applyBorder="1" applyAlignment="1">
      <alignment horizontal="center" vertical="center" wrapText="1" readingOrder="1"/>
    </xf>
    <xf numFmtId="0" fontId="35" fillId="3" borderId="22" xfId="0" applyFont="1" applyFill="1" applyBorder="1" applyAlignment="1">
      <alignment horizontal="justify" vertical="center" wrapText="1" readingOrder="1"/>
    </xf>
    <xf numFmtId="9" fontId="34" fillId="3" borderId="31" xfId="0" applyNumberFormat="1" applyFont="1" applyFill="1" applyBorder="1" applyAlignment="1">
      <alignment horizontal="center" vertical="center" wrapText="1" readingOrder="1"/>
    </xf>
    <xf numFmtId="0" fontId="34" fillId="3" borderId="21" xfId="0" applyFont="1" applyFill="1" applyBorder="1" applyAlignment="1">
      <alignment horizontal="center" vertical="center" wrapText="1" readingOrder="1"/>
    </xf>
    <xf numFmtId="0" fontId="35" fillId="3" borderId="21" xfId="0" applyFont="1" applyFill="1" applyBorder="1" applyAlignment="1">
      <alignment horizontal="justify" vertical="center" wrapText="1" readingOrder="1"/>
    </xf>
    <xf numFmtId="9" fontId="34" fillId="3" borderId="26" xfId="0" applyNumberFormat="1" applyFont="1" applyFill="1" applyBorder="1" applyAlignment="1">
      <alignment horizontal="center" vertical="center" wrapText="1" readingOrder="1"/>
    </xf>
    <xf numFmtId="0" fontId="35" fillId="3" borderId="26" xfId="0" applyFont="1" applyFill="1" applyBorder="1" applyAlignment="1">
      <alignment horizontal="center" vertical="center" wrapText="1" readingOrder="1"/>
    </xf>
    <xf numFmtId="0" fontId="34" fillId="3" borderId="28" xfId="0" applyFont="1" applyFill="1" applyBorder="1" applyAlignment="1">
      <alignment horizontal="center" vertical="center" wrapText="1" readingOrder="1"/>
    </xf>
    <xf numFmtId="0" fontId="35" fillId="3" borderId="28" xfId="0" applyFont="1" applyFill="1" applyBorder="1" applyAlignment="1">
      <alignment horizontal="justify" vertical="center" wrapText="1" readingOrder="1"/>
    </xf>
    <xf numFmtId="0" fontId="35" fillId="3" borderId="29" xfId="0" applyFont="1" applyFill="1" applyBorder="1" applyAlignment="1">
      <alignment horizontal="center" vertical="center" wrapText="1" readingOrder="1"/>
    </xf>
    <xf numFmtId="0" fontId="43" fillId="3" borderId="0" xfId="0" applyFont="1" applyFill="1"/>
    <xf numFmtId="0" fontId="34" fillId="15" borderId="33" xfId="0" applyFont="1" applyFill="1" applyBorder="1" applyAlignment="1">
      <alignment horizontal="center" vertical="center" wrapText="1" readingOrder="1"/>
    </xf>
    <xf numFmtId="0" fontId="34" fillId="15" borderId="34" xfId="0" applyFont="1" applyFill="1" applyBorder="1" applyAlignment="1">
      <alignment horizontal="center" vertical="center" wrapText="1" readingOrder="1"/>
    </xf>
    <xf numFmtId="0" fontId="12" fillId="3" borderId="0" xfId="0" applyFont="1" applyFill="1"/>
    <xf numFmtId="0" fontId="28" fillId="3" borderId="0" xfId="0" applyFont="1" applyFill="1" applyAlignment="1">
      <alignment horizontal="center" vertical="center" wrapText="1"/>
    </xf>
    <xf numFmtId="0" fontId="11" fillId="3" borderId="0" xfId="0" applyFont="1" applyFill="1" applyAlignment="1">
      <alignment horizontal="justify" vertical="center" wrapText="1" readingOrder="1"/>
    </xf>
    <xf numFmtId="0" fontId="4" fillId="3" borderId="0" xfId="0" applyFont="1" applyFill="1" applyAlignment="1">
      <alignment vertical="center"/>
    </xf>
    <xf numFmtId="0" fontId="14" fillId="3" borderId="0" xfId="0" applyFont="1" applyFill="1"/>
    <xf numFmtId="0" fontId="4" fillId="3" borderId="0" xfId="0" applyFont="1" applyFill="1" applyAlignment="1">
      <alignment horizontal="left" vertical="center"/>
    </xf>
    <xf numFmtId="0" fontId="46" fillId="3" borderId="7" xfId="2" applyFont="1" applyFill="1" applyBorder="1"/>
    <xf numFmtId="0" fontId="51" fillId="3" borderId="0" xfId="0" applyFont="1" applyFill="1" applyAlignment="1">
      <alignment horizontal="left" vertical="center" wrapText="1"/>
    </xf>
    <xf numFmtId="0" fontId="52" fillId="3" borderId="0" xfId="0" applyFont="1" applyFill="1" applyAlignment="1">
      <alignment horizontal="left" vertical="top" wrapText="1"/>
    </xf>
    <xf numFmtId="0" fontId="46" fillId="3" borderId="0" xfId="2" applyFont="1" applyFill="1"/>
    <xf numFmtId="0" fontId="46" fillId="3" borderId="8" xfId="2" applyFont="1" applyFill="1" applyBorder="1"/>
    <xf numFmtId="0" fontId="46" fillId="3" borderId="9" xfId="2" applyFont="1" applyFill="1" applyBorder="1"/>
    <xf numFmtId="0" fontId="46" fillId="3" borderId="11" xfId="2" applyFont="1" applyFill="1" applyBorder="1"/>
    <xf numFmtId="0" fontId="46" fillId="3" borderId="10" xfId="2" applyFont="1" applyFill="1" applyBorder="1"/>
    <xf numFmtId="0" fontId="50" fillId="3" borderId="0" xfId="2" applyFont="1" applyFill="1" applyAlignment="1">
      <alignment horizontal="left" vertical="center" wrapText="1"/>
    </xf>
    <xf numFmtId="0" fontId="46" fillId="3" borderId="0" xfId="2" applyFont="1" applyFill="1" applyAlignment="1">
      <alignment horizontal="left" vertical="center" wrapText="1"/>
    </xf>
    <xf numFmtId="0" fontId="46" fillId="3" borderId="0" xfId="2" quotePrefix="1" applyFont="1" applyFill="1" applyAlignment="1">
      <alignment horizontal="left" vertical="center" wrapText="1"/>
    </xf>
    <xf numFmtId="0" fontId="48" fillId="3" borderId="7" xfId="2" quotePrefix="1" applyFont="1" applyFill="1" applyBorder="1" applyAlignment="1">
      <alignment horizontal="left" vertical="top" wrapText="1"/>
    </xf>
    <xf numFmtId="0" fontId="49" fillId="3" borderId="0" xfId="2" quotePrefix="1" applyFont="1" applyFill="1" applyAlignment="1">
      <alignment horizontal="left" vertical="top" wrapText="1"/>
    </xf>
    <xf numFmtId="0" fontId="49" fillId="3" borderId="8" xfId="2" quotePrefix="1" applyFont="1" applyFill="1" applyBorder="1" applyAlignment="1">
      <alignment horizontal="left" vertical="top" wrapText="1"/>
    </xf>
    <xf numFmtId="0" fontId="44" fillId="0" borderId="7" xfId="0" applyFont="1" applyBorder="1" applyAlignment="1">
      <alignment vertical="center" wrapText="1"/>
    </xf>
    <xf numFmtId="0" fontId="44" fillId="0" borderId="0" xfId="0" applyFont="1" applyAlignment="1">
      <alignment vertical="center" wrapText="1"/>
    </xf>
    <xf numFmtId="0" fontId="57" fillId="0" borderId="0" xfId="0" applyFont="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horizontal="left" vertical="center" wrapText="1"/>
    </xf>
    <xf numFmtId="0" fontId="58" fillId="0" borderId="0" xfId="0" applyFont="1" applyAlignment="1">
      <alignment horizontal="center"/>
    </xf>
    <xf numFmtId="0" fontId="60" fillId="0" borderId="0" xfId="0" applyFont="1" applyAlignment="1">
      <alignment horizontal="center" vertical="center" wrapText="1"/>
    </xf>
    <xf numFmtId="0" fontId="0" fillId="0" borderId="0" xfId="0" applyAlignment="1">
      <alignment wrapText="1"/>
    </xf>
    <xf numFmtId="0" fontId="60" fillId="0" borderId="0" xfId="0" applyFont="1" applyAlignment="1">
      <alignment vertical="center" wrapText="1"/>
    </xf>
    <xf numFmtId="0" fontId="59" fillId="0" borderId="70" xfId="0" applyFont="1" applyBorder="1" applyAlignment="1">
      <alignment vertical="center" wrapText="1"/>
    </xf>
    <xf numFmtId="0" fontId="56" fillId="0" borderId="64" xfId="0" applyFont="1" applyBorder="1" applyAlignment="1" applyProtection="1">
      <alignment horizontal="center" wrapText="1"/>
      <protection locked="0"/>
    </xf>
    <xf numFmtId="0" fontId="56" fillId="0" borderId="57" xfId="0" applyFont="1" applyBorder="1" applyAlignment="1" applyProtection="1">
      <alignment horizontal="center" wrapText="1"/>
      <protection locked="0"/>
    </xf>
    <xf numFmtId="0" fontId="55" fillId="0" borderId="63" xfId="0" applyFont="1" applyBorder="1" applyAlignment="1">
      <alignment horizontal="left" vertical="center"/>
    </xf>
    <xf numFmtId="0" fontId="55" fillId="0" borderId="57" xfId="0" applyFont="1" applyBorder="1" applyAlignment="1">
      <alignment horizontal="left" vertical="center"/>
    </xf>
    <xf numFmtId="0" fontId="0" fillId="17" borderId="0" xfId="0" applyFill="1"/>
    <xf numFmtId="0" fontId="55" fillId="0" borderId="21" xfId="0" applyFont="1" applyBorder="1" applyAlignment="1">
      <alignment vertical="center"/>
    </xf>
    <xf numFmtId="0" fontId="66" fillId="17" borderId="0" xfId="0" applyFont="1" applyFill="1"/>
    <xf numFmtId="14" fontId="66" fillId="0" borderId="80" xfId="0" applyNumberFormat="1" applyFont="1" applyBorder="1" applyAlignment="1" applyProtection="1">
      <alignment horizontal="center" vertical="center"/>
      <protection locked="0"/>
    </xf>
    <xf numFmtId="0" fontId="66" fillId="0" borderId="80" xfId="0" applyFont="1" applyBorder="1" applyAlignment="1" applyProtection="1">
      <alignment horizontal="center" vertical="center"/>
      <protection locked="0"/>
    </xf>
    <xf numFmtId="0" fontId="66" fillId="0" borderId="80" xfId="0" applyFont="1" applyBorder="1" applyAlignment="1" applyProtection="1">
      <alignment horizontal="center" vertical="center" wrapText="1"/>
      <protection locked="0"/>
    </xf>
    <xf numFmtId="0" fontId="66" fillId="0" borderId="80" xfId="0" applyFont="1" applyBorder="1" applyAlignment="1" applyProtection="1">
      <alignment horizontal="justify" wrapText="1"/>
      <protection locked="0"/>
    </xf>
    <xf numFmtId="0" fontId="12" fillId="17" borderId="0" xfId="0" applyFont="1" applyFill="1"/>
    <xf numFmtId="0" fontId="67" fillId="0" borderId="24" xfId="0" applyFont="1" applyBorder="1" applyAlignment="1">
      <alignment horizontal="center" vertical="center"/>
    </xf>
    <xf numFmtId="0" fontId="67" fillId="0" borderId="91" xfId="0" applyFont="1" applyBorder="1" applyAlignment="1">
      <alignment horizontal="center" vertical="center" wrapText="1"/>
    </xf>
    <xf numFmtId="0" fontId="67" fillId="0" borderId="91" xfId="0" applyFont="1" applyBorder="1" applyAlignment="1">
      <alignment horizontal="center" vertical="center"/>
    </xf>
    <xf numFmtId="0" fontId="0" fillId="0" borderId="5" xfId="0" applyBorder="1"/>
    <xf numFmtId="0" fontId="0" fillId="0" borderId="12"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1" xfId="0" applyBorder="1"/>
    <xf numFmtId="0" fontId="0" fillId="0" borderId="10" xfId="0" applyBorder="1"/>
    <xf numFmtId="14" fontId="71" fillId="16" borderId="80" xfId="0" applyNumberFormat="1" applyFont="1" applyFill="1" applyBorder="1" applyAlignment="1">
      <alignment horizontal="center" vertical="center" wrapText="1"/>
    </xf>
    <xf numFmtId="0" fontId="71" fillId="16" borderId="80" xfId="0" applyFont="1" applyFill="1" applyBorder="1" applyAlignment="1">
      <alignment horizontal="center" vertical="center" wrapText="1"/>
    </xf>
    <xf numFmtId="0" fontId="77" fillId="17" borderId="0" xfId="0" applyFont="1" applyFill="1" applyAlignment="1">
      <alignment horizontal="center" vertical="center" textRotation="90"/>
    </xf>
    <xf numFmtId="0" fontId="82" fillId="0" borderId="0" xfId="0" applyFont="1" applyAlignment="1">
      <alignment vertical="center"/>
    </xf>
    <xf numFmtId="0" fontId="85" fillId="0" borderId="0" xfId="0" applyFont="1"/>
    <xf numFmtId="0" fontId="77" fillId="0" borderId="0" xfId="0" applyFont="1" applyAlignment="1">
      <alignment horizontal="left" vertical="center"/>
    </xf>
    <xf numFmtId="0" fontId="66" fillId="0" borderId="99" xfId="0" applyFont="1" applyBorder="1" applyAlignment="1">
      <alignment horizontal="left" vertical="center"/>
    </xf>
    <xf numFmtId="0" fontId="66" fillId="0" borderId="100" xfId="0" applyFont="1" applyBorder="1" applyAlignment="1">
      <alignment horizontal="left" vertical="center"/>
    </xf>
    <xf numFmtId="0" fontId="85" fillId="3" borderId="0" xfId="0" applyFont="1" applyFill="1"/>
    <xf numFmtId="0" fontId="86" fillId="3" borderId="0" xfId="0" applyFont="1" applyFill="1" applyAlignment="1">
      <alignment horizontal="center" vertical="center"/>
    </xf>
    <xf numFmtId="0" fontId="0" fillId="0" borderId="91" xfId="0" applyBorder="1" applyAlignment="1">
      <alignment horizontal="center" vertical="center"/>
    </xf>
    <xf numFmtId="0" fontId="71" fillId="19" borderId="91" xfId="0" applyFont="1" applyFill="1" applyBorder="1" applyAlignment="1">
      <alignment horizontal="center" vertical="center"/>
    </xf>
    <xf numFmtId="0" fontId="83" fillId="18" borderId="0" xfId="0" applyFont="1" applyFill="1" applyAlignment="1">
      <alignment horizontal="center" vertical="center"/>
    </xf>
    <xf numFmtId="0" fontId="71" fillId="19" borderId="0" xfId="0" applyFont="1" applyFill="1" applyAlignment="1">
      <alignment horizontal="center" vertical="center"/>
    </xf>
    <xf numFmtId="0" fontId="84" fillId="0" borderId="0" xfId="0" applyFont="1" applyAlignment="1">
      <alignment horizontal="center"/>
    </xf>
    <xf numFmtId="0" fontId="84" fillId="0" borderId="0" xfId="0" applyFont="1" applyAlignment="1">
      <alignment horizontal="center" vertical="center"/>
    </xf>
    <xf numFmtId="0" fontId="72" fillId="0" borderId="21" xfId="0" applyFont="1" applyBorder="1" applyAlignment="1" applyProtection="1">
      <alignment horizontal="center" vertical="center" wrapText="1"/>
      <protection locked="0"/>
    </xf>
    <xf numFmtId="0" fontId="12" fillId="18" borderId="0" xfId="0" applyFont="1" applyFill="1" applyAlignment="1">
      <alignment horizontal="center" vertical="center"/>
    </xf>
    <xf numFmtId="0" fontId="61" fillId="18" borderId="0" xfId="0" applyFont="1" applyFill="1" applyAlignment="1">
      <alignment horizontal="center" vertical="center"/>
    </xf>
    <xf numFmtId="0" fontId="61" fillId="18" borderId="0" xfId="0" applyFont="1" applyFill="1" applyAlignment="1">
      <alignment horizontal="center" vertical="center" wrapText="1"/>
    </xf>
    <xf numFmtId="0" fontId="61" fillId="0" borderId="0" xfId="0" applyFont="1" applyAlignment="1">
      <alignment horizontal="center" vertical="center"/>
    </xf>
    <xf numFmtId="0" fontId="12" fillId="18" borderId="0" xfId="0" applyFont="1" applyFill="1" applyAlignment="1">
      <alignment wrapText="1"/>
    </xf>
    <xf numFmtId="0" fontId="60" fillId="0" borderId="70" xfId="0" applyFont="1" applyBorder="1" applyAlignment="1">
      <alignment horizontal="center" vertical="center" wrapText="1"/>
    </xf>
    <xf numFmtId="0" fontId="66" fillId="0" borderId="0" xfId="0" applyFont="1"/>
    <xf numFmtId="0" fontId="66" fillId="0" borderId="0" xfId="0" applyFont="1" applyAlignment="1">
      <alignment horizontal="center" vertical="center"/>
    </xf>
    <xf numFmtId="0" fontId="66" fillId="0" borderId="0" xfId="0" applyFont="1" applyAlignment="1">
      <alignment horizontal="center"/>
    </xf>
    <xf numFmtId="0" fontId="92" fillId="0" borderId="57" xfId="0" applyFont="1" applyBorder="1" applyAlignment="1" applyProtection="1">
      <alignment horizontal="center" vertical="center"/>
      <protection locked="0"/>
    </xf>
    <xf numFmtId="0" fontId="66" fillId="3" borderId="0" xfId="0" applyFont="1" applyFill="1"/>
    <xf numFmtId="0" fontId="94" fillId="3" borderId="0" xfId="0" applyFont="1" applyFill="1"/>
    <xf numFmtId="0" fontId="87" fillId="3" borderId="68"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67" xfId="0" applyFont="1" applyFill="1" applyBorder="1" applyAlignment="1">
      <alignment horizontal="center" vertical="center"/>
    </xf>
    <xf numFmtId="0" fontId="87" fillId="3" borderId="57" xfId="0" applyFont="1" applyFill="1" applyBorder="1" applyAlignment="1">
      <alignment horizontal="center" vertical="center"/>
    </xf>
    <xf numFmtId="0" fontId="87" fillId="3" borderId="40" xfId="0" applyFont="1" applyFill="1" applyBorder="1" applyAlignment="1">
      <alignment vertical="center"/>
    </xf>
    <xf numFmtId="0" fontId="88" fillId="16" borderId="21" xfId="0" applyFont="1" applyFill="1" applyBorder="1" applyAlignment="1">
      <alignment horizontal="center" vertical="center"/>
    </xf>
    <xf numFmtId="0" fontId="88" fillId="16" borderId="21" xfId="0" applyFont="1" applyFill="1" applyBorder="1" applyAlignment="1">
      <alignment horizontal="center" vertical="center" wrapText="1"/>
    </xf>
    <xf numFmtId="0" fontId="71" fillId="3" borderId="0" xfId="0" applyFont="1" applyFill="1" applyAlignment="1">
      <alignment horizontal="center" vertical="center"/>
    </xf>
    <xf numFmtId="0" fontId="88" fillId="16" borderId="21" xfId="0" applyFont="1" applyFill="1" applyBorder="1" applyAlignment="1">
      <alignment horizontal="center" vertical="center" textRotation="90"/>
    </xf>
    <xf numFmtId="0" fontId="77" fillId="3" borderId="0" xfId="0" applyFont="1" applyFill="1" applyAlignment="1">
      <alignment horizontal="center" vertical="center"/>
    </xf>
    <xf numFmtId="0" fontId="77" fillId="2" borderId="0" xfId="0" applyFont="1" applyFill="1" applyAlignment="1">
      <alignment horizontal="center" vertical="center"/>
    </xf>
    <xf numFmtId="0" fontId="66" fillId="0" borderId="21" xfId="0" applyFont="1" applyBorder="1" applyAlignment="1" applyProtection="1">
      <alignment horizontal="center" vertical="center" wrapText="1"/>
      <protection locked="0"/>
    </xf>
    <xf numFmtId="0" fontId="66" fillId="0" borderId="21" xfId="0" applyFont="1" applyBorder="1" applyAlignment="1">
      <alignment horizontal="center" vertical="center" wrapText="1"/>
    </xf>
    <xf numFmtId="0" fontId="72" fillId="0" borderId="21" xfId="0" applyFont="1" applyBorder="1" applyAlignment="1" applyProtection="1">
      <alignment horizontal="center" vertical="top" wrapText="1"/>
      <protection locked="0"/>
    </xf>
    <xf numFmtId="0" fontId="66" fillId="0" borderId="21" xfId="0" applyFont="1" applyBorder="1" applyAlignment="1" applyProtection="1">
      <alignment horizontal="center" vertical="center" wrapText="1"/>
      <protection hidden="1"/>
    </xf>
    <xf numFmtId="0" fontId="66" fillId="0" borderId="21" xfId="0" applyFont="1" applyBorder="1" applyAlignment="1" applyProtection="1">
      <alignment horizontal="center" vertical="top" textRotation="90" wrapText="1"/>
      <protection locked="0"/>
    </xf>
    <xf numFmtId="9" fontId="66" fillId="0" borderId="21" xfId="0" applyNumberFormat="1" applyFont="1" applyBorder="1" applyAlignment="1" applyProtection="1">
      <alignment horizontal="center" vertical="top" wrapText="1"/>
      <protection hidden="1"/>
    </xf>
    <xf numFmtId="164" fontId="66" fillId="0" borderId="21" xfId="1" applyNumberFormat="1" applyFont="1" applyBorder="1" applyAlignment="1">
      <alignment horizontal="center" vertical="top" wrapText="1"/>
    </xf>
    <xf numFmtId="9" fontId="66" fillId="0" borderId="21" xfId="0" applyNumberFormat="1" applyFont="1" applyBorder="1" applyAlignment="1" applyProtection="1">
      <alignment horizontal="center" vertical="center" wrapText="1"/>
      <protection hidden="1"/>
    </xf>
    <xf numFmtId="0" fontId="66" fillId="0" borderId="21" xfId="0" applyFont="1" applyBorder="1" applyAlignment="1" applyProtection="1">
      <alignment horizontal="center" vertical="center" textRotation="90" wrapText="1"/>
      <protection locked="0"/>
    </xf>
    <xf numFmtId="14" fontId="66" fillId="0" borderId="21" xfId="0" applyNumberFormat="1" applyFont="1" applyBorder="1" applyAlignment="1" applyProtection="1">
      <alignment horizontal="center" vertical="center" wrapText="1"/>
      <protection locked="0"/>
    </xf>
    <xf numFmtId="0" fontId="66" fillId="0" borderId="21" xfId="0" applyFont="1" applyBorder="1" applyAlignment="1" applyProtection="1">
      <alignment horizontal="center" vertical="center"/>
      <protection locked="0"/>
    </xf>
    <xf numFmtId="0" fontId="77" fillId="0" borderId="21" xfId="0" applyFont="1" applyBorder="1" applyAlignment="1" applyProtection="1">
      <alignment horizontal="center" vertical="center" wrapText="1"/>
      <protection hidden="1"/>
    </xf>
    <xf numFmtId="9" fontId="66" fillId="0" borderId="21" xfId="0" applyNumberFormat="1" applyFont="1" applyBorder="1" applyAlignment="1" applyProtection="1">
      <alignment horizontal="center" vertical="center" wrapText="1"/>
      <protection locked="0"/>
    </xf>
    <xf numFmtId="9" fontId="66" fillId="0" borderId="21" xfId="0" applyNumberFormat="1" applyFont="1" applyBorder="1" applyAlignment="1" applyProtection="1">
      <alignment vertical="top" wrapText="1"/>
      <protection hidden="1"/>
    </xf>
    <xf numFmtId="0" fontId="66" fillId="0" borderId="21" xfId="0" applyFont="1" applyBorder="1" applyAlignment="1">
      <alignment horizontal="center" vertical="center"/>
    </xf>
    <xf numFmtId="0" fontId="66" fillId="0" borderId="21" xfId="0" applyFont="1" applyBorder="1" applyAlignment="1" applyProtection="1">
      <alignment horizontal="center" vertical="top" textRotation="90"/>
      <protection locked="0"/>
    </xf>
    <xf numFmtId="9" fontId="66" fillId="0" borderId="21" xfId="0" applyNumberFormat="1" applyFont="1" applyBorder="1" applyAlignment="1" applyProtection="1">
      <alignment horizontal="center" vertical="top"/>
      <protection hidden="1"/>
    </xf>
    <xf numFmtId="164" fontId="66" fillId="0" borderId="21" xfId="1" applyNumberFormat="1" applyFont="1" applyBorder="1" applyAlignment="1">
      <alignment horizontal="center" vertical="top"/>
    </xf>
    <xf numFmtId="9" fontId="66" fillId="0" borderId="21" xfId="0" applyNumberFormat="1" applyFont="1" applyBorder="1" applyAlignment="1" applyProtection="1">
      <alignment horizontal="center" vertical="center"/>
      <protection hidden="1"/>
    </xf>
    <xf numFmtId="14" fontId="66" fillId="0" borderId="21" xfId="0" applyNumberFormat="1" applyFont="1" applyBorder="1" applyAlignment="1" applyProtection="1">
      <alignment horizontal="center" vertical="center"/>
      <protection locked="0"/>
    </xf>
    <xf numFmtId="0" fontId="66" fillId="0" borderId="21" xfId="0" applyFont="1" applyBorder="1" applyAlignment="1">
      <alignment vertical="center"/>
    </xf>
    <xf numFmtId="0" fontId="95" fillId="0" borderId="21" xfId="0" applyFont="1" applyBorder="1" applyAlignment="1" applyProtection="1">
      <alignment horizontal="center" vertical="center" wrapText="1"/>
      <protection locked="0"/>
    </xf>
    <xf numFmtId="0" fontId="66" fillId="0" borderId="3" xfId="0" applyFont="1" applyBorder="1" applyAlignment="1">
      <alignment horizontal="center" vertical="center"/>
    </xf>
    <xf numFmtId="0" fontId="66" fillId="0" borderId="2" xfId="0" applyFont="1" applyBorder="1" applyAlignment="1">
      <alignment horizontal="center" vertical="center"/>
    </xf>
    <xf numFmtId="0" fontId="66" fillId="0" borderId="0" xfId="0" applyFont="1" applyAlignment="1">
      <alignment horizontal="center" wrapText="1"/>
    </xf>
    <xf numFmtId="0" fontId="66" fillId="0" borderId="0" xfId="0" applyFont="1" applyAlignment="1">
      <alignment wrapText="1"/>
    </xf>
    <xf numFmtId="0" fontId="66" fillId="0" borderId="0" xfId="0" applyFont="1" applyAlignment="1">
      <alignment vertical="center"/>
    </xf>
    <xf numFmtId="0" fontId="66" fillId="0" borderId="21" xfId="0" applyFont="1" applyBorder="1" applyAlignment="1" applyProtection="1">
      <alignment horizontal="center" vertical="top" wrapText="1"/>
      <protection locked="0"/>
    </xf>
    <xf numFmtId="0" fontId="66" fillId="0" borderId="21" xfId="0" applyFont="1" applyBorder="1" applyAlignment="1" applyProtection="1">
      <alignment vertical="center" wrapText="1"/>
      <protection locked="0"/>
    </xf>
    <xf numFmtId="165" fontId="66" fillId="0" borderId="21" xfId="0" applyNumberFormat="1" applyFont="1" applyBorder="1" applyAlignment="1" applyProtection="1">
      <alignment vertical="center" wrapText="1"/>
      <protection locked="0"/>
    </xf>
    <xf numFmtId="0" fontId="66" fillId="0" borderId="21" xfId="0" applyFont="1" applyBorder="1" applyAlignment="1">
      <alignment vertical="center" wrapText="1"/>
    </xf>
    <xf numFmtId="0" fontId="91" fillId="16" borderId="21" xfId="0" applyFont="1" applyFill="1" applyBorder="1" applyAlignment="1">
      <alignment horizontal="center" vertical="center" wrapText="1"/>
    </xf>
    <xf numFmtId="0" fontId="63" fillId="0" borderId="7" xfId="0" applyFont="1" applyBorder="1" applyAlignment="1">
      <alignment horizontal="center" wrapText="1"/>
    </xf>
    <xf numFmtId="0" fontId="63" fillId="0" borderId="9" xfId="0" applyFont="1" applyBorder="1" applyAlignment="1">
      <alignment horizontal="center" wrapText="1"/>
    </xf>
    <xf numFmtId="0" fontId="63" fillId="0" borderId="5" xfId="0" applyFont="1" applyBorder="1" applyAlignment="1">
      <alignment horizontal="center" wrapText="1"/>
    </xf>
    <xf numFmtId="0" fontId="77" fillId="0" borderId="110" xfId="0" applyFont="1" applyBorder="1" applyAlignment="1" applyProtection="1">
      <alignment horizontal="center" vertical="center" textRotation="90" wrapText="1"/>
      <protection hidden="1"/>
    </xf>
    <xf numFmtId="0" fontId="66" fillId="0" borderId="110" xfId="0" applyFont="1" applyBorder="1" applyAlignment="1" applyProtection="1">
      <alignment horizontal="center" vertical="center" wrapText="1"/>
      <protection locked="0"/>
    </xf>
    <xf numFmtId="0" fontId="95" fillId="0" borderId="110" xfId="0" applyFont="1" applyBorder="1" applyAlignment="1" applyProtection="1">
      <alignment horizontal="center" vertical="center" wrapText="1"/>
      <protection locked="0"/>
    </xf>
    <xf numFmtId="9" fontId="66" fillId="0" borderId="110" xfId="0" applyNumberFormat="1" applyFont="1" applyBorder="1" applyAlignment="1" applyProtection="1">
      <alignment horizontal="center" vertical="center" wrapText="1"/>
      <protection hidden="1"/>
    </xf>
    <xf numFmtId="0" fontId="63" fillId="0" borderId="0" xfId="0" applyFont="1" applyAlignment="1">
      <alignment horizontal="center" wrapText="1"/>
    </xf>
    <xf numFmtId="0" fontId="88" fillId="16" borderId="64" xfId="0" applyFont="1" applyFill="1" applyBorder="1" applyAlignment="1">
      <alignment horizontal="center" vertical="center"/>
    </xf>
    <xf numFmtId="0" fontId="66" fillId="0" borderId="21" xfId="0" applyFont="1" applyBorder="1" applyAlignment="1" applyProtection="1">
      <alignment horizontal="center" vertical="top"/>
      <protection locked="0"/>
    </xf>
    <xf numFmtId="9" fontId="1" fillId="0" borderId="21" xfId="1" applyFont="1" applyBorder="1" applyAlignment="1">
      <alignment horizontal="center" vertical="center" wrapText="1"/>
    </xf>
    <xf numFmtId="0" fontId="66" fillId="0" borderId="0" xfId="0" applyFont="1" applyAlignment="1">
      <alignment horizontal="center" vertical="center" wrapText="1"/>
    </xf>
    <xf numFmtId="0" fontId="95" fillId="0" borderId="21" xfId="0" applyFont="1" applyBorder="1" applyAlignment="1" applyProtection="1">
      <alignment vertical="center" wrapText="1"/>
      <protection locked="0"/>
    </xf>
    <xf numFmtId="164" fontId="1" fillId="0" borderId="21" xfId="1" applyNumberFormat="1" applyFont="1" applyBorder="1" applyAlignment="1">
      <alignment horizontal="center" vertical="center"/>
    </xf>
    <xf numFmtId="0" fontId="77" fillId="0" borderId="21" xfId="0" applyFont="1" applyBorder="1" applyAlignment="1" applyProtection="1">
      <alignment horizontal="center" vertical="center" textRotation="90" wrapText="1"/>
      <protection hidden="1"/>
    </xf>
    <xf numFmtId="0" fontId="66" fillId="3" borderId="0" xfId="0" applyFont="1" applyFill="1" applyAlignment="1">
      <alignment horizontal="center" vertical="center" wrapText="1"/>
    </xf>
    <xf numFmtId="0" fontId="66" fillId="0" borderId="65" xfId="0" applyFont="1" applyBorder="1" applyAlignment="1">
      <alignment horizontal="center" vertical="center"/>
    </xf>
    <xf numFmtId="0" fontId="57" fillId="0" borderId="21" xfId="0" applyFont="1" applyBorder="1" applyAlignment="1">
      <alignment horizontal="center" vertical="center" wrapText="1"/>
    </xf>
    <xf numFmtId="0" fontId="44" fillId="0" borderId="21" xfId="0" applyFont="1" applyBorder="1" applyAlignment="1" applyProtection="1">
      <alignment horizontal="center" vertical="center" wrapText="1"/>
      <protection locked="0"/>
    </xf>
    <xf numFmtId="164" fontId="66" fillId="0" borderId="21" xfId="1" applyNumberFormat="1" applyFont="1" applyBorder="1" applyAlignment="1">
      <alignment horizontal="center" vertical="center" wrapText="1"/>
    </xf>
    <xf numFmtId="0" fontId="4" fillId="0" borderId="21" xfId="0" applyFont="1" applyBorder="1" applyAlignment="1" applyProtection="1">
      <alignment horizontal="center" vertical="center" wrapText="1"/>
      <protection hidden="1"/>
    </xf>
    <xf numFmtId="0" fontId="66" fillId="0" borderId="21" xfId="0" applyFont="1" applyBorder="1" applyAlignment="1" applyProtection="1">
      <alignment vertical="center"/>
      <protection locked="0"/>
    </xf>
    <xf numFmtId="0" fontId="1" fillId="0" borderId="21" xfId="0" applyFont="1" applyBorder="1" applyAlignment="1" applyProtection="1">
      <alignment horizontal="left" vertical="top" wrapText="1"/>
      <protection locked="0"/>
    </xf>
    <xf numFmtId="164" fontId="66" fillId="0" borderId="110" xfId="1" applyNumberFormat="1" applyFont="1" applyBorder="1" applyAlignment="1">
      <alignment horizontal="center" vertical="center" wrapText="1"/>
    </xf>
    <xf numFmtId="0" fontId="66" fillId="0" borderId="21" xfId="0" applyFont="1" applyBorder="1" applyAlignment="1" applyProtection="1">
      <alignment horizontal="left" vertical="center" wrapText="1"/>
      <protection locked="0"/>
    </xf>
    <xf numFmtId="0" fontId="66" fillId="0" borderId="110" xfId="0" applyFont="1" applyBorder="1" applyAlignment="1" applyProtection="1">
      <alignment vertical="center"/>
      <protection locked="0"/>
    </xf>
    <xf numFmtId="0" fontId="66" fillId="3" borderId="21" xfId="0" applyFont="1" applyFill="1" applyBorder="1" applyAlignment="1" applyProtection="1">
      <alignment horizontal="center" vertical="center" wrapText="1"/>
      <protection locked="0"/>
    </xf>
    <xf numFmtId="0" fontId="1" fillId="0" borderId="21" xfId="0" applyFont="1" applyBorder="1" applyAlignment="1" applyProtection="1">
      <alignment vertical="top" wrapText="1"/>
      <protection locked="0"/>
    </xf>
    <xf numFmtId="9" fontId="66" fillId="0" borderId="21" xfId="0" applyNumberFormat="1" applyFont="1" applyBorder="1" applyAlignment="1" applyProtection="1">
      <alignment vertical="center" wrapText="1"/>
      <protection hidden="1"/>
    </xf>
    <xf numFmtId="0" fontId="95" fillId="0" borderId="110" xfId="0" applyFont="1" applyBorder="1" applyAlignment="1">
      <alignment horizontal="center" vertical="center"/>
    </xf>
    <xf numFmtId="0" fontId="66" fillId="0" borderId="110" xfId="0" applyFont="1" applyBorder="1" applyAlignment="1" applyProtection="1">
      <alignment horizontal="center" vertical="center" textRotation="90" wrapText="1"/>
      <protection locked="0"/>
    </xf>
    <xf numFmtId="14" fontId="66" fillId="0" borderId="110" xfId="0" applyNumberFormat="1"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hidden="1"/>
    </xf>
    <xf numFmtId="0" fontId="91" fillId="19" borderId="68" xfId="0" applyFont="1" applyFill="1" applyBorder="1" applyAlignment="1">
      <alignment horizontal="center" vertical="center" wrapText="1"/>
    </xf>
    <xf numFmtId="0" fontId="63" fillId="0" borderId="11" xfId="0" applyFont="1" applyBorder="1" applyAlignment="1">
      <alignment horizontal="center" wrapText="1"/>
    </xf>
    <xf numFmtId="0" fontId="63" fillId="0" borderId="12" xfId="0" applyFont="1" applyBorder="1" applyAlignment="1">
      <alignment horizontal="center" wrapText="1"/>
    </xf>
    <xf numFmtId="0" fontId="77" fillId="0" borderId="0" xfId="0" applyFont="1"/>
    <xf numFmtId="0" fontId="1" fillId="0" borderId="21"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protection locked="0"/>
    </xf>
    <xf numFmtId="9" fontId="1" fillId="0" borderId="21" xfId="0" applyNumberFormat="1" applyFont="1" applyBorder="1" applyAlignment="1" applyProtection="1">
      <alignment horizontal="center" vertical="center" wrapText="1"/>
      <protection locked="0"/>
    </xf>
    <xf numFmtId="0" fontId="1" fillId="0" borderId="21" xfId="0" applyFont="1" applyBorder="1" applyAlignment="1">
      <alignment horizontal="center" vertical="center"/>
    </xf>
    <xf numFmtId="0" fontId="102" fillId="0" borderId="21" xfId="0" applyFont="1" applyBorder="1" applyAlignment="1" applyProtection="1">
      <alignment horizontal="left" vertical="center" wrapText="1"/>
      <protection locked="0"/>
    </xf>
    <xf numFmtId="0" fontId="102" fillId="0" borderId="21" xfId="0" applyFont="1" applyBorder="1" applyAlignment="1" applyProtection="1">
      <alignment horizontal="justify" vertical="center" wrapText="1"/>
      <protection locked="0"/>
    </xf>
    <xf numFmtId="0" fontId="1" fillId="0" borderId="21" xfId="0" applyFont="1" applyBorder="1" applyAlignment="1" applyProtection="1">
      <alignment horizontal="left" vertical="center"/>
      <protection locked="0"/>
    </xf>
    <xf numFmtId="0" fontId="1" fillId="0" borderId="21" xfId="0" applyFont="1" applyBorder="1" applyAlignment="1" applyProtection="1">
      <alignment horizontal="justify" vertical="center"/>
      <protection locked="0"/>
    </xf>
    <xf numFmtId="0" fontId="2" fillId="0" borderId="21" xfId="0" applyFont="1" applyBorder="1" applyAlignment="1" applyProtection="1">
      <alignment horizontal="center" vertical="center" wrapText="1"/>
      <protection locked="0"/>
    </xf>
    <xf numFmtId="0" fontId="66" fillId="0" borderId="22" xfId="0" applyFont="1" applyBorder="1" applyAlignment="1">
      <alignment vertical="center" wrapText="1"/>
    </xf>
    <xf numFmtId="0" fontId="77" fillId="0" borderId="21" xfId="0" applyFont="1" applyBorder="1" applyAlignment="1" applyProtection="1">
      <alignment vertical="center" wrapText="1"/>
      <protection hidden="1"/>
    </xf>
    <xf numFmtId="0" fontId="2" fillId="0" borderId="21" xfId="0" applyFont="1" applyBorder="1" applyAlignment="1" applyProtection="1">
      <alignment horizontal="left" vertical="top" wrapText="1"/>
      <protection locked="0"/>
    </xf>
    <xf numFmtId="0" fontId="1" fillId="0" borderId="21" xfId="0" applyFont="1" applyBorder="1" applyAlignment="1" applyProtection="1">
      <alignment horizontal="left" vertical="top"/>
      <protection locked="0"/>
    </xf>
    <xf numFmtId="0" fontId="1" fillId="0" borderId="21" xfId="0" applyFont="1" applyBorder="1" applyAlignment="1">
      <alignment horizontal="left" vertical="top"/>
    </xf>
    <xf numFmtId="0" fontId="46" fillId="0" borderId="21" xfId="0" applyFont="1" applyBorder="1" applyAlignment="1" applyProtection="1">
      <alignment horizontal="left" vertical="top" wrapText="1"/>
      <protection locked="0"/>
    </xf>
    <xf numFmtId="0" fontId="102" fillId="0" borderId="21" xfId="0" applyFont="1" applyBorder="1" applyAlignment="1" applyProtection="1">
      <alignment horizontal="left" vertical="top" wrapText="1"/>
      <protection locked="0"/>
    </xf>
    <xf numFmtId="0" fontId="2" fillId="0" borderId="21" xfId="0" applyFont="1" applyBorder="1" applyAlignment="1" applyProtection="1">
      <alignment vertical="top" wrapText="1"/>
      <protection locked="0"/>
    </xf>
    <xf numFmtId="0" fontId="1" fillId="0" borderId="21" xfId="0" applyFont="1" applyBorder="1" applyAlignment="1" applyProtection="1">
      <alignment vertical="top"/>
      <protection locked="0"/>
    </xf>
    <xf numFmtId="0" fontId="66" fillId="0" borderId="110" xfId="0" applyFont="1" applyBorder="1" applyAlignment="1">
      <alignment vertical="center" wrapText="1"/>
    </xf>
    <xf numFmtId="0" fontId="66" fillId="0" borderId="111" xfId="0" applyFont="1" applyBorder="1" applyAlignment="1">
      <alignment vertical="center" wrapText="1"/>
    </xf>
    <xf numFmtId="0" fontId="104" fillId="14" borderId="21" xfId="0" applyFont="1" applyFill="1" applyBorder="1" applyAlignment="1" applyProtection="1">
      <alignment horizontal="left" vertical="top" wrapText="1"/>
      <protection locked="0"/>
    </xf>
    <xf numFmtId="0" fontId="105" fillId="14" borderId="21" xfId="0" applyFont="1" applyFill="1" applyBorder="1" applyAlignment="1" applyProtection="1">
      <alignment horizontal="center" vertical="center" wrapText="1"/>
      <protection locked="0"/>
    </xf>
    <xf numFmtId="0" fontId="105" fillId="14" borderId="21" xfId="0" applyFont="1" applyFill="1" applyBorder="1" applyAlignment="1">
      <alignment horizontal="center" vertical="center" wrapText="1"/>
    </xf>
    <xf numFmtId="0" fontId="106" fillId="14" borderId="21" xfId="0" applyFont="1" applyFill="1" applyBorder="1" applyAlignment="1" applyProtection="1">
      <alignment horizontal="center" vertical="top" wrapText="1"/>
      <protection locked="0"/>
    </xf>
    <xf numFmtId="0" fontId="105" fillId="14" borderId="21" xfId="0" applyFont="1" applyFill="1" applyBorder="1" applyAlignment="1" applyProtection="1">
      <alignment horizontal="center" vertical="center" wrapText="1"/>
      <protection hidden="1"/>
    </xf>
    <xf numFmtId="0" fontId="105" fillId="14" borderId="21" xfId="0" applyFont="1" applyFill="1" applyBorder="1" applyAlignment="1" applyProtection="1">
      <alignment horizontal="center" vertical="top" textRotation="90" wrapText="1"/>
      <protection locked="0"/>
    </xf>
    <xf numFmtId="9" fontId="105" fillId="14" borderId="21" xfId="0" applyNumberFormat="1" applyFont="1" applyFill="1" applyBorder="1" applyAlignment="1" applyProtection="1">
      <alignment horizontal="center" vertical="top" wrapText="1"/>
      <protection hidden="1"/>
    </xf>
    <xf numFmtId="0" fontId="105" fillId="14" borderId="21" xfId="0" applyFont="1" applyFill="1" applyBorder="1" applyAlignment="1" applyProtection="1">
      <alignment horizontal="center" vertical="top" wrapText="1"/>
      <protection locked="0"/>
    </xf>
    <xf numFmtId="164" fontId="105" fillId="14" borderId="21" xfId="1" applyNumberFormat="1" applyFont="1" applyFill="1" applyBorder="1" applyAlignment="1">
      <alignment horizontal="center" vertical="top" wrapText="1"/>
    </xf>
    <xf numFmtId="0" fontId="108" fillId="14" borderId="21" xfId="0" applyFont="1" applyFill="1" applyBorder="1" applyAlignment="1" applyProtection="1">
      <alignment horizontal="center" vertical="center" textRotation="90" wrapText="1"/>
      <protection hidden="1"/>
    </xf>
    <xf numFmtId="9" fontId="105" fillId="14" borderId="21" xfId="0" applyNumberFormat="1" applyFont="1" applyFill="1" applyBorder="1" applyAlignment="1" applyProtection="1">
      <alignment horizontal="center" vertical="center" wrapText="1"/>
      <protection hidden="1"/>
    </xf>
    <xf numFmtId="14" fontId="105" fillId="14" borderId="21" xfId="0" applyNumberFormat="1" applyFont="1" applyFill="1" applyBorder="1" applyAlignment="1" applyProtection="1">
      <alignment horizontal="center" vertical="center" wrapText="1"/>
      <protection locked="0"/>
    </xf>
    <xf numFmtId="0" fontId="105" fillId="14" borderId="0" xfId="0" applyFont="1" applyFill="1" applyAlignment="1">
      <alignment horizontal="center" vertical="center" wrapText="1"/>
    </xf>
    <xf numFmtId="0" fontId="109" fillId="18" borderId="0" xfId="0" applyFont="1" applyFill="1" applyAlignment="1">
      <alignment horizontal="center" vertical="center" wrapText="1"/>
    </xf>
    <xf numFmtId="9" fontId="66" fillId="0" borderId="110" xfId="0" applyNumberFormat="1" applyFont="1" applyBorder="1" applyAlignment="1" applyProtection="1">
      <alignment vertical="center" wrapText="1"/>
      <protection hidden="1"/>
    </xf>
    <xf numFmtId="0" fontId="1" fillId="0" borderId="21" xfId="0" applyFont="1" applyBorder="1" applyAlignment="1" applyProtection="1">
      <alignment horizontal="center" vertical="center"/>
      <protection hidden="1"/>
    </xf>
    <xf numFmtId="9" fontId="1" fillId="0" borderId="21" xfId="0" applyNumberFormat="1" applyFont="1" applyBorder="1" applyAlignment="1" applyProtection="1">
      <alignment horizontal="center" vertical="center"/>
      <protection hidden="1"/>
    </xf>
    <xf numFmtId="0" fontId="77" fillId="0" borderId="110" xfId="0" applyFont="1" applyBorder="1" applyAlignment="1" applyProtection="1">
      <alignment vertical="center" textRotation="90" wrapText="1"/>
      <protection hidden="1"/>
    </xf>
    <xf numFmtId="0" fontId="102" fillId="0" borderId="21" xfId="0" applyFont="1" applyBorder="1" applyAlignment="1" applyProtection="1">
      <alignment horizontal="center" vertical="center" wrapText="1"/>
      <protection locked="0"/>
    </xf>
    <xf numFmtId="0" fontId="77" fillId="0" borderId="21" xfId="0" applyFont="1" applyBorder="1" applyAlignment="1" applyProtection="1">
      <alignment vertical="center" textRotation="90" wrapText="1"/>
      <protection hidden="1"/>
    </xf>
    <xf numFmtId="0" fontId="77" fillId="0" borderId="110" xfId="0" applyFont="1" applyBorder="1" applyAlignment="1" applyProtection="1">
      <alignment vertical="center" wrapText="1"/>
      <protection hidden="1"/>
    </xf>
    <xf numFmtId="0" fontId="4" fillId="0" borderId="110" xfId="0" applyFont="1" applyBorder="1" applyAlignment="1" applyProtection="1">
      <alignment vertical="center" wrapText="1"/>
      <protection hidden="1"/>
    </xf>
    <xf numFmtId="0" fontId="3" fillId="0" borderId="0" xfId="0" applyFont="1" applyAlignment="1">
      <alignment horizontal="left" vertical="center" wrapText="1" indent="1" readingOrder="1"/>
    </xf>
    <xf numFmtId="9" fontId="66" fillId="0" borderId="110" xfId="0" applyNumberFormat="1" applyFont="1" applyBorder="1" applyAlignment="1" applyProtection="1">
      <alignment vertical="center" wrapText="1"/>
      <protection locked="0"/>
    </xf>
    <xf numFmtId="0" fontId="66" fillId="3" borderId="110" xfId="0" applyFont="1" applyFill="1" applyBorder="1" applyAlignment="1" applyProtection="1">
      <alignment horizontal="center" vertical="center" wrapText="1"/>
      <protection locked="0"/>
    </xf>
    <xf numFmtId="0" fontId="88" fillId="16" borderId="110" xfId="0" applyFont="1" applyFill="1" applyBorder="1" applyAlignment="1">
      <alignment horizontal="center" vertical="center" wrapText="1"/>
    </xf>
    <xf numFmtId="0" fontId="88" fillId="16" borderId="110" xfId="0" applyFont="1" applyFill="1" applyBorder="1" applyAlignment="1">
      <alignment horizontal="center" vertical="center" textRotation="90"/>
    </xf>
    <xf numFmtId="0" fontId="88" fillId="16" borderId="110" xfId="0" applyFont="1" applyFill="1" applyBorder="1" applyAlignment="1">
      <alignment horizontal="center" vertical="center"/>
    </xf>
    <xf numFmtId="9" fontId="66" fillId="0" borderId="21" xfId="0" applyNumberFormat="1" applyFont="1" applyBorder="1" applyAlignment="1" applyProtection="1">
      <alignment vertical="center" wrapText="1"/>
      <protection locked="0"/>
    </xf>
    <xf numFmtId="14" fontId="66" fillId="3" borderId="21" xfId="0" applyNumberFormat="1" applyFont="1" applyFill="1" applyBorder="1" applyAlignment="1" applyProtection="1">
      <alignment horizontal="center" vertical="center" wrapText="1"/>
      <protection locked="0"/>
    </xf>
    <xf numFmtId="0" fontId="57" fillId="3" borderId="110" xfId="0" applyFont="1" applyFill="1" applyBorder="1" applyAlignment="1">
      <alignment vertical="center" wrapText="1"/>
    </xf>
    <xf numFmtId="0" fontId="72" fillId="3" borderId="21" xfId="0" applyFont="1" applyFill="1" applyBorder="1" applyAlignment="1" applyProtection="1">
      <alignment horizontal="center" vertical="center" wrapText="1"/>
      <protection locked="0"/>
    </xf>
    <xf numFmtId="0" fontId="66" fillId="3" borderId="21" xfId="0" applyFont="1" applyFill="1" applyBorder="1" applyAlignment="1" applyProtection="1">
      <alignment horizontal="center" vertical="center" textRotation="90" wrapText="1"/>
      <protection locked="0"/>
    </xf>
    <xf numFmtId="0" fontId="77" fillId="3" borderId="21" xfId="0" applyFont="1" applyFill="1" applyBorder="1" applyAlignment="1" applyProtection="1">
      <alignment horizontal="center" vertical="center" textRotation="90" wrapText="1"/>
      <protection hidden="1"/>
    </xf>
    <xf numFmtId="9" fontId="66" fillId="3" borderId="21" xfId="0" applyNumberFormat="1" applyFont="1" applyFill="1" applyBorder="1" applyAlignment="1" applyProtection="1">
      <alignment horizontal="center" vertical="center" wrapText="1"/>
      <protection hidden="1"/>
    </xf>
    <xf numFmtId="0" fontId="66" fillId="3" borderId="21" xfId="0" applyFont="1" applyFill="1" applyBorder="1" applyAlignment="1" applyProtection="1">
      <alignment horizontal="center" vertical="center" wrapText="1"/>
      <protection hidden="1"/>
    </xf>
    <xf numFmtId="0" fontId="66" fillId="3" borderId="21" xfId="0" applyFont="1" applyFill="1" applyBorder="1" applyAlignment="1" applyProtection="1">
      <alignment horizontal="left" vertical="center" wrapText="1"/>
      <protection locked="0"/>
    </xf>
    <xf numFmtId="0" fontId="66" fillId="3" borderId="21" xfId="0" applyFont="1" applyFill="1" applyBorder="1" applyAlignment="1">
      <alignment horizontal="center" vertical="center"/>
    </xf>
    <xf numFmtId="0" fontId="77" fillId="3" borderId="21" xfId="0" applyFont="1" applyFill="1" applyBorder="1" applyAlignment="1" applyProtection="1">
      <alignment vertical="center" wrapText="1"/>
      <protection hidden="1"/>
    </xf>
    <xf numFmtId="0" fontId="66" fillId="3" borderId="21" xfId="0" applyFont="1" applyFill="1" applyBorder="1" applyAlignment="1" applyProtection="1">
      <alignment vertical="center" wrapText="1"/>
      <protection locked="0"/>
    </xf>
    <xf numFmtId="0" fontId="44" fillId="3" borderId="21" xfId="0" applyFont="1" applyFill="1" applyBorder="1" applyAlignment="1" applyProtection="1">
      <alignment horizontal="center" vertical="center" wrapText="1"/>
      <protection locked="0"/>
    </xf>
    <xf numFmtId="0" fontId="95" fillId="3" borderId="21" xfId="0" applyFont="1" applyFill="1" applyBorder="1" applyAlignment="1" applyProtection="1">
      <alignment horizontal="center" vertical="center" wrapText="1"/>
      <protection locked="0"/>
    </xf>
    <xf numFmtId="0" fontId="57" fillId="3" borderId="21" xfId="0" applyFont="1" applyFill="1" applyBorder="1" applyAlignment="1">
      <alignment horizontal="center" vertical="center" wrapText="1"/>
    </xf>
    <xf numFmtId="0" fontId="77" fillId="3" borderId="21" xfId="0" applyFont="1" applyFill="1" applyBorder="1" applyAlignment="1" applyProtection="1">
      <alignment horizontal="center" vertical="center" wrapText="1"/>
      <protection hidden="1"/>
    </xf>
    <xf numFmtId="0" fontId="113" fillId="3" borderId="110" xfId="0" applyFont="1" applyFill="1" applyBorder="1" applyAlignment="1" applyProtection="1">
      <alignment vertical="center" wrapText="1"/>
      <protection locked="0"/>
    </xf>
    <xf numFmtId="0" fontId="66" fillId="3" borderId="110" xfId="0" applyFont="1" applyFill="1" applyBorder="1" applyAlignment="1" applyProtection="1">
      <alignment vertical="center" wrapText="1"/>
      <protection locked="0"/>
    </xf>
    <xf numFmtId="0" fontId="66" fillId="3" borderId="0" xfId="0" applyFont="1" applyFill="1" applyAlignment="1">
      <alignment vertical="center" wrapText="1"/>
    </xf>
    <xf numFmtId="0" fontId="113" fillId="3" borderId="21" xfId="0" applyFont="1" applyFill="1" applyBorder="1" applyAlignment="1" applyProtection="1">
      <alignment vertical="center" wrapText="1"/>
      <protection locked="0"/>
    </xf>
    <xf numFmtId="0" fontId="57" fillId="3" borderId="21" xfId="0" applyFont="1" applyFill="1" applyBorder="1" applyAlignment="1">
      <alignment vertical="center" wrapText="1"/>
    </xf>
    <xf numFmtId="0" fontId="95" fillId="3" borderId="21" xfId="0" applyFont="1" applyFill="1" applyBorder="1" applyAlignment="1" applyProtection="1">
      <alignment vertical="center" wrapText="1"/>
      <protection locked="0"/>
    </xf>
    <xf numFmtId="0" fontId="114" fillId="21" borderId="21" xfId="0" applyFont="1" applyFill="1" applyBorder="1" applyAlignment="1" applyProtection="1">
      <alignment vertical="center" wrapText="1"/>
      <protection locked="0"/>
    </xf>
    <xf numFmtId="0" fontId="113" fillId="21" borderId="21" xfId="0" applyFont="1" applyFill="1" applyBorder="1" applyAlignment="1" applyProtection="1">
      <alignment vertical="center" wrapText="1"/>
      <protection locked="0"/>
    </xf>
    <xf numFmtId="14" fontId="66" fillId="3" borderId="110" xfId="0" applyNumberFormat="1" applyFont="1" applyFill="1" applyBorder="1" applyAlignment="1" applyProtection="1">
      <alignment horizontal="center" vertical="center" wrapText="1"/>
      <protection locked="0"/>
    </xf>
    <xf numFmtId="0" fontId="91" fillId="16" borderId="110" xfId="0" applyFont="1" applyFill="1" applyBorder="1" applyAlignment="1">
      <alignment horizontal="center" vertical="center" wrapText="1"/>
    </xf>
    <xf numFmtId="0" fontId="113" fillId="3" borderId="109" xfId="0" applyFont="1" applyFill="1" applyBorder="1" applyAlignment="1" applyProtection="1">
      <alignment vertical="center" wrapText="1"/>
      <protection locked="0"/>
    </xf>
    <xf numFmtId="0" fontId="66" fillId="3" borderId="109" xfId="0" applyFont="1" applyFill="1" applyBorder="1" applyAlignment="1" applyProtection="1">
      <alignment horizontal="center" vertical="center" wrapText="1"/>
      <protection locked="0"/>
    </xf>
    <xf numFmtId="0" fontId="77" fillId="3" borderId="109" xfId="0" applyFont="1" applyFill="1" applyBorder="1" applyAlignment="1" applyProtection="1">
      <alignment horizontal="center" vertical="center" wrapText="1"/>
      <protection hidden="1"/>
    </xf>
    <xf numFmtId="9" fontId="66" fillId="3" borderId="109" xfId="0" applyNumberFormat="1" applyFont="1" applyFill="1" applyBorder="1" applyAlignment="1" applyProtection="1">
      <alignment horizontal="center" vertical="center" wrapText="1"/>
      <protection hidden="1"/>
    </xf>
    <xf numFmtId="0" fontId="66" fillId="3" borderId="109" xfId="0" applyFont="1" applyFill="1" applyBorder="1" applyAlignment="1">
      <alignment horizontal="center" vertical="center"/>
    </xf>
    <xf numFmtId="0" fontId="66" fillId="3" borderId="109" xfId="0" applyFont="1" applyFill="1" applyBorder="1" applyAlignment="1" applyProtection="1">
      <alignment vertical="center" wrapText="1"/>
      <protection locked="0"/>
    </xf>
    <xf numFmtId="0" fontId="95" fillId="3" borderId="109" xfId="0" applyFont="1" applyFill="1" applyBorder="1" applyAlignment="1" applyProtection="1">
      <alignment horizontal="center" vertical="center" wrapText="1"/>
      <protection locked="0"/>
    </xf>
    <xf numFmtId="0" fontId="66" fillId="3" borderId="109" xfId="0" applyFont="1" applyFill="1" applyBorder="1" applyAlignment="1" applyProtection="1">
      <alignment horizontal="center" vertical="center" wrapText="1"/>
      <protection hidden="1"/>
    </xf>
    <xf numFmtId="0" fontId="66" fillId="3" borderId="109" xfId="0" applyFont="1" applyFill="1" applyBorder="1" applyAlignment="1" applyProtection="1">
      <alignment horizontal="center" vertical="center" textRotation="90" wrapText="1"/>
      <protection locked="0"/>
    </xf>
    <xf numFmtId="0" fontId="77" fillId="3" borderId="109" xfId="0" applyFont="1" applyFill="1" applyBorder="1" applyAlignment="1" applyProtection="1">
      <alignment horizontal="center" vertical="center" textRotation="90" wrapText="1"/>
      <protection hidden="1"/>
    </xf>
    <xf numFmtId="0" fontId="44" fillId="3" borderId="109" xfId="0" applyFont="1" applyFill="1" applyBorder="1" applyAlignment="1" applyProtection="1">
      <alignment horizontal="center" vertical="center" wrapText="1"/>
      <protection locked="0"/>
    </xf>
    <xf numFmtId="0" fontId="57" fillId="3" borderId="109" xfId="0" applyFont="1" applyFill="1" applyBorder="1" applyAlignment="1">
      <alignment vertical="center" wrapText="1"/>
    </xf>
    <xf numFmtId="14" fontId="66" fillId="3" borderId="109" xfId="0" applyNumberFormat="1" applyFont="1" applyFill="1" applyBorder="1" applyAlignment="1" applyProtection="1">
      <alignment horizontal="center" vertical="center" wrapText="1"/>
      <protection locked="0"/>
    </xf>
    <xf numFmtId="0" fontId="66" fillId="3" borderId="115" xfId="0" applyFont="1" applyFill="1" applyBorder="1" applyAlignment="1" applyProtection="1">
      <alignment horizontal="center" vertical="center" wrapText="1"/>
      <protection locked="0"/>
    </xf>
    <xf numFmtId="0" fontId="66" fillId="3" borderId="26" xfId="0" applyFont="1" applyFill="1" applyBorder="1" applyAlignment="1" applyProtection="1">
      <alignment horizontal="center" vertical="center" wrapText="1"/>
      <protection locked="0"/>
    </xf>
    <xf numFmtId="0" fontId="66" fillId="3" borderId="28" xfId="0" applyFont="1" applyFill="1" applyBorder="1" applyAlignment="1" applyProtection="1">
      <alignment horizontal="center" vertical="center" wrapText="1"/>
      <protection locked="0"/>
    </xf>
    <xf numFmtId="9" fontId="66" fillId="3" borderId="28" xfId="0" applyNumberFormat="1" applyFont="1" applyFill="1" applyBorder="1" applyAlignment="1" applyProtection="1">
      <alignment horizontal="center" vertical="center" wrapText="1"/>
      <protection hidden="1"/>
    </xf>
    <xf numFmtId="0" fontId="66" fillId="3" borderId="28" xfId="0" applyFont="1" applyFill="1" applyBorder="1" applyAlignment="1">
      <alignment horizontal="center" vertical="center"/>
    </xf>
    <xf numFmtId="0" fontId="66" fillId="3" borderId="28" xfId="0" applyFont="1" applyFill="1" applyBorder="1" applyAlignment="1" applyProtection="1">
      <alignment horizontal="center" vertical="center" wrapText="1"/>
      <protection hidden="1"/>
    </xf>
    <xf numFmtId="0" fontId="66" fillId="3" borderId="28" xfId="0" applyFont="1" applyFill="1" applyBorder="1" applyAlignment="1" applyProtection="1">
      <alignment horizontal="center" vertical="center" textRotation="90" wrapText="1"/>
      <protection locked="0"/>
    </xf>
    <xf numFmtId="0" fontId="77" fillId="3" borderId="28" xfId="0" applyFont="1" applyFill="1" applyBorder="1" applyAlignment="1" applyProtection="1">
      <alignment horizontal="center" vertical="center" textRotation="90" wrapText="1"/>
      <protection hidden="1"/>
    </xf>
    <xf numFmtId="14" fontId="66" fillId="3" borderId="28" xfId="0" applyNumberFormat="1" applyFont="1" applyFill="1" applyBorder="1" applyAlignment="1" applyProtection="1">
      <alignment horizontal="center" vertical="center" wrapText="1"/>
      <protection locked="0"/>
    </xf>
    <xf numFmtId="0" fontId="66" fillId="3" borderId="29" xfId="0" applyFont="1" applyFill="1" applyBorder="1" applyAlignment="1" applyProtection="1">
      <alignment horizontal="center" vertical="center" wrapText="1"/>
      <protection locked="0"/>
    </xf>
    <xf numFmtId="0" fontId="77" fillId="3" borderId="110" xfId="0" applyFont="1" applyFill="1" applyBorder="1" applyAlignment="1" applyProtection="1">
      <alignment horizontal="center" vertical="center" wrapText="1"/>
      <protection hidden="1"/>
    </xf>
    <xf numFmtId="9" fontId="66" fillId="3" borderId="110" xfId="0" applyNumberFormat="1" applyFont="1" applyFill="1" applyBorder="1" applyAlignment="1" applyProtection="1">
      <alignment horizontal="center" vertical="center" wrapText="1"/>
      <protection hidden="1"/>
    </xf>
    <xf numFmtId="0" fontId="66" fillId="3" borderId="110" xfId="0" applyFont="1" applyFill="1" applyBorder="1" applyAlignment="1">
      <alignment horizontal="center" vertical="center"/>
    </xf>
    <xf numFmtId="0" fontId="66" fillId="3" borderId="110" xfId="0" applyFont="1" applyFill="1" applyBorder="1" applyAlignment="1" applyProtection="1">
      <alignment horizontal="center" vertical="center" wrapText="1"/>
      <protection hidden="1"/>
    </xf>
    <xf numFmtId="0" fontId="66" fillId="3" borderId="110" xfId="0" applyFont="1" applyFill="1" applyBorder="1" applyAlignment="1" applyProtection="1">
      <alignment horizontal="center" vertical="center" textRotation="90" wrapText="1"/>
      <protection locked="0"/>
    </xf>
    <xf numFmtId="0" fontId="77" fillId="3" borderId="110" xfId="0" applyFont="1" applyFill="1" applyBorder="1" applyAlignment="1" applyProtection="1">
      <alignment horizontal="center" vertical="center" textRotation="90" wrapText="1"/>
      <protection hidden="1"/>
    </xf>
    <xf numFmtId="0" fontId="72" fillId="3" borderId="110" xfId="0" applyFont="1" applyFill="1" applyBorder="1" applyAlignment="1" applyProtection="1">
      <alignment horizontal="center" vertical="center" wrapText="1"/>
      <protection locked="0"/>
    </xf>
    <xf numFmtId="0" fontId="57" fillId="3" borderId="110" xfId="0" applyFont="1" applyFill="1" applyBorder="1" applyAlignment="1">
      <alignment horizontal="center" vertical="center" wrapText="1"/>
    </xf>
    <xf numFmtId="0" fontId="77" fillId="3" borderId="28" xfId="0" applyFont="1" applyFill="1" applyBorder="1" applyAlignment="1" applyProtection="1">
      <alignment vertical="center" wrapText="1"/>
      <protection hidden="1"/>
    </xf>
    <xf numFmtId="0" fontId="57" fillId="3" borderId="28" xfId="0" applyFont="1" applyFill="1" applyBorder="1" applyAlignment="1">
      <alignment vertical="center" wrapText="1"/>
    </xf>
    <xf numFmtId="0" fontId="88" fillId="16" borderId="110" xfId="0" applyFont="1" applyFill="1" applyBorder="1" applyAlignment="1">
      <alignment vertical="center" wrapText="1"/>
    </xf>
    <xf numFmtId="164" fontId="66" fillId="3" borderId="109" xfId="1" applyNumberFormat="1" applyFont="1" applyFill="1" applyBorder="1" applyAlignment="1">
      <alignment horizontal="center" vertical="top" wrapText="1"/>
    </xf>
    <xf numFmtId="9" fontId="1" fillId="3" borderId="21" xfId="1" applyFont="1" applyFill="1" applyBorder="1" applyAlignment="1">
      <alignment horizontal="center" vertical="center" wrapText="1"/>
    </xf>
    <xf numFmtId="9" fontId="1" fillId="3" borderId="28" xfId="1" applyFont="1" applyFill="1" applyBorder="1" applyAlignment="1">
      <alignment horizontal="center" vertical="center" wrapText="1"/>
    </xf>
    <xf numFmtId="0" fontId="95" fillId="3" borderId="109" xfId="0" applyFont="1" applyFill="1" applyBorder="1" applyAlignment="1" applyProtection="1">
      <alignment horizontal="center" wrapText="1"/>
      <protection locked="0"/>
    </xf>
    <xf numFmtId="14" fontId="95" fillId="3" borderId="109" xfId="0" applyNumberFormat="1" applyFont="1" applyFill="1" applyBorder="1" applyAlignment="1" applyProtection="1">
      <alignment horizontal="center" vertical="center" wrapText="1"/>
      <protection locked="0"/>
    </xf>
    <xf numFmtId="0" fontId="95" fillId="3" borderId="115" xfId="0" applyFont="1" applyFill="1" applyBorder="1" applyAlignment="1" applyProtection="1">
      <alignment horizontal="center" vertical="center" wrapText="1"/>
      <protection locked="0"/>
    </xf>
    <xf numFmtId="0" fontId="95" fillId="3" borderId="0" xfId="0" applyFont="1" applyFill="1" applyAlignment="1">
      <alignment horizontal="center" vertical="center" wrapText="1"/>
    </xf>
    <xf numFmtId="0" fontId="95" fillId="3" borderId="21" xfId="0" applyFont="1" applyFill="1" applyBorder="1" applyAlignment="1" applyProtection="1">
      <alignment horizontal="center" wrapText="1"/>
      <protection locked="0"/>
    </xf>
    <xf numFmtId="14" fontId="95" fillId="3" borderId="21" xfId="0" applyNumberFormat="1" applyFont="1" applyFill="1" applyBorder="1" applyAlignment="1" applyProtection="1">
      <alignment horizontal="center" vertical="center" wrapText="1"/>
      <protection locked="0"/>
    </xf>
    <xf numFmtId="0" fontId="95" fillId="3" borderId="26" xfId="0" applyFont="1" applyFill="1" applyBorder="1" applyAlignment="1" applyProtection="1">
      <alignment horizontal="center" vertical="center" wrapText="1"/>
      <protection locked="0"/>
    </xf>
    <xf numFmtId="0" fontId="95" fillId="3" borderId="21" xfId="0" applyFont="1" applyFill="1" applyBorder="1" applyAlignment="1" applyProtection="1">
      <alignment horizontal="left" vertical="center" wrapText="1"/>
      <protection locked="0"/>
    </xf>
    <xf numFmtId="0" fontId="101" fillId="3" borderId="21" xfId="0" applyFont="1" applyFill="1" applyBorder="1" applyAlignment="1" applyProtection="1">
      <alignment vertical="center" wrapText="1"/>
      <protection hidden="1"/>
    </xf>
    <xf numFmtId="9" fontId="95" fillId="3" borderId="21" xfId="0" applyNumberFormat="1" applyFont="1" applyFill="1" applyBorder="1" applyAlignment="1" applyProtection="1">
      <alignment horizontal="center" vertical="center" wrapText="1"/>
      <protection hidden="1"/>
    </xf>
    <xf numFmtId="0" fontId="95" fillId="3" borderId="21" xfId="0" applyFont="1" applyFill="1" applyBorder="1" applyAlignment="1">
      <alignment horizontal="center" vertical="center"/>
    </xf>
    <xf numFmtId="0" fontId="95" fillId="3" borderId="21" xfId="0" applyFont="1" applyFill="1" applyBorder="1" applyAlignment="1" applyProtection="1">
      <alignment horizontal="center" vertical="center" wrapText="1"/>
      <protection hidden="1"/>
    </xf>
    <xf numFmtId="0" fontId="95" fillId="3" borderId="21" xfId="0" applyFont="1" applyFill="1" applyBorder="1" applyAlignment="1" applyProtection="1">
      <alignment horizontal="center" vertical="center" textRotation="90" wrapText="1"/>
      <protection locked="0"/>
    </xf>
    <xf numFmtId="164" fontId="95" fillId="3" borderId="21" xfId="1" applyNumberFormat="1" applyFont="1" applyFill="1" applyBorder="1" applyAlignment="1">
      <alignment horizontal="center" vertical="center" wrapText="1"/>
    </xf>
    <xf numFmtId="0" fontId="101" fillId="3" borderId="21" xfId="0" applyFont="1" applyFill="1" applyBorder="1" applyAlignment="1" applyProtection="1">
      <alignment horizontal="center" vertical="center" textRotation="90" wrapText="1"/>
      <protection hidden="1"/>
    </xf>
    <xf numFmtId="9" fontId="95" fillId="3" borderId="21" xfId="0" applyNumberFormat="1" applyFont="1" applyFill="1" applyBorder="1" applyAlignment="1" applyProtection="1">
      <alignment vertical="center" wrapText="1"/>
      <protection locked="0"/>
    </xf>
    <xf numFmtId="9" fontId="66" fillId="0" borderId="109" xfId="0" applyNumberFormat="1" applyFont="1" applyBorder="1" applyAlignment="1" applyProtection="1">
      <alignment vertical="center" wrapText="1"/>
      <protection locked="0"/>
    </xf>
    <xf numFmtId="9" fontId="66" fillId="3" borderId="109" xfId="0" applyNumberFormat="1" applyFont="1" applyFill="1" applyBorder="1" applyAlignment="1" applyProtection="1">
      <alignment vertical="center" wrapText="1"/>
      <protection hidden="1"/>
    </xf>
    <xf numFmtId="0" fontId="77" fillId="3" borderId="109" xfId="0" applyFont="1" applyFill="1" applyBorder="1" applyAlignment="1" applyProtection="1">
      <alignment vertical="center" wrapText="1"/>
      <protection hidden="1"/>
    </xf>
    <xf numFmtId="9" fontId="66" fillId="3" borderId="21" xfId="0" applyNumberFormat="1" applyFont="1" applyFill="1" applyBorder="1" applyAlignment="1" applyProtection="1">
      <alignment vertical="center" wrapText="1"/>
      <protection hidden="1"/>
    </xf>
    <xf numFmtId="9" fontId="66" fillId="0" borderId="28" xfId="0" applyNumberFormat="1" applyFont="1" applyBorder="1" applyAlignment="1" applyProtection="1">
      <alignment vertical="center" wrapText="1"/>
      <protection locked="0"/>
    </xf>
    <xf numFmtId="9" fontId="1" fillId="3" borderId="110" xfId="1" applyFont="1" applyFill="1" applyBorder="1" applyAlignment="1">
      <alignment horizontal="center" vertical="center" wrapText="1"/>
    </xf>
    <xf numFmtId="9" fontId="95" fillId="3" borderId="109" xfId="0" applyNumberFormat="1" applyFont="1" applyFill="1" applyBorder="1" applyAlignment="1" applyProtection="1">
      <alignment vertical="center" wrapText="1"/>
      <protection hidden="1"/>
    </xf>
    <xf numFmtId="9" fontId="95" fillId="3" borderId="21" xfId="0" applyNumberFormat="1" applyFont="1" applyFill="1" applyBorder="1" applyAlignment="1" applyProtection="1">
      <alignment vertical="center" wrapText="1"/>
      <protection hidden="1"/>
    </xf>
    <xf numFmtId="0" fontId="49" fillId="3" borderId="21" xfId="0" applyFont="1" applyFill="1" applyBorder="1" applyAlignment="1" applyProtection="1">
      <alignment vertical="center" wrapText="1"/>
      <protection hidden="1"/>
    </xf>
    <xf numFmtId="0" fontId="66" fillId="0" borderId="66" xfId="0" applyFont="1" applyBorder="1" applyAlignment="1">
      <alignment horizontal="center" vertical="center"/>
    </xf>
    <xf numFmtId="0" fontId="1" fillId="3" borderId="21" xfId="0" applyFont="1" applyFill="1" applyBorder="1" applyAlignment="1" applyProtection="1">
      <alignment horizontal="center" vertical="center" wrapText="1"/>
      <protection locked="0"/>
    </xf>
    <xf numFmtId="0" fontId="2" fillId="3" borderId="21" xfId="0" applyFont="1" applyFill="1" applyBorder="1" applyAlignment="1" applyProtection="1">
      <alignment horizontal="center" vertical="center" wrapText="1"/>
      <protection locked="0"/>
    </xf>
    <xf numFmtId="0" fontId="88" fillId="16" borderId="22" xfId="0" applyFont="1" applyFill="1" applyBorder="1" applyAlignment="1">
      <alignment horizontal="center" vertical="center"/>
    </xf>
    <xf numFmtId="0" fontId="88" fillId="19" borderId="21" xfId="0" applyFont="1" applyFill="1" applyBorder="1" applyAlignment="1">
      <alignment horizontal="center" vertical="center" wrapText="1"/>
    </xf>
    <xf numFmtId="0" fontId="88" fillId="16" borderId="21" xfId="0" applyFont="1" applyFill="1" applyBorder="1" applyAlignment="1">
      <alignment horizontal="center" vertical="center" textRotation="90" wrapText="1"/>
    </xf>
    <xf numFmtId="0" fontId="88" fillId="18" borderId="64" xfId="0" applyFont="1" applyFill="1" applyBorder="1" applyAlignment="1">
      <alignment horizontal="center" vertical="center" wrapText="1"/>
    </xf>
    <xf numFmtId="0" fontId="88" fillId="16" borderId="57" xfId="0" applyFont="1" applyFill="1" applyBorder="1" applyAlignment="1">
      <alignment horizontal="center" vertical="center" wrapText="1"/>
    </xf>
    <xf numFmtId="0" fontId="88" fillId="16" borderId="63" xfId="0" applyFont="1" applyFill="1" applyBorder="1" applyAlignment="1">
      <alignment horizontal="center" vertical="center" wrapText="1"/>
    </xf>
    <xf numFmtId="0" fontId="88" fillId="16" borderId="110" xfId="0" applyFont="1" applyFill="1" applyBorder="1" applyAlignment="1">
      <alignment horizontal="center" vertical="center" textRotation="90" wrapText="1"/>
    </xf>
    <xf numFmtId="0" fontId="66" fillId="3" borderId="21" xfId="0" applyFont="1" applyFill="1" applyBorder="1" applyAlignment="1">
      <alignment horizontal="center" vertical="center" wrapText="1"/>
    </xf>
    <xf numFmtId="0" fontId="72" fillId="3" borderId="109" xfId="0" applyFont="1" applyFill="1" applyBorder="1" applyAlignment="1" applyProtection="1">
      <alignment horizontal="center" vertical="center" wrapText="1"/>
      <protection locked="0"/>
    </xf>
    <xf numFmtId="0" fontId="72" fillId="3" borderId="28" xfId="0" applyFont="1" applyFill="1" applyBorder="1" applyAlignment="1" applyProtection="1">
      <alignment horizontal="center" vertical="center" wrapText="1"/>
      <protection locked="0"/>
    </xf>
    <xf numFmtId="0" fontId="117" fillId="0" borderId="21" xfId="5" applyBorder="1" applyAlignment="1" applyProtection="1">
      <alignment horizontal="center" vertical="center" wrapText="1"/>
      <protection locked="0"/>
    </xf>
    <xf numFmtId="0" fontId="62" fillId="0" borderId="0" xfId="0" applyFont="1" applyAlignment="1">
      <alignment horizontal="center" wrapText="1"/>
    </xf>
    <xf numFmtId="0" fontId="65" fillId="0" borderId="95" xfId="0" applyFont="1" applyBorder="1" applyAlignment="1">
      <alignment horizontal="center" vertical="center" wrapText="1"/>
    </xf>
    <xf numFmtId="0" fontId="65" fillId="0" borderId="12" xfId="0" applyFont="1" applyBorder="1" applyAlignment="1">
      <alignment horizontal="center" vertical="center" wrapText="1"/>
    </xf>
    <xf numFmtId="0" fontId="65" fillId="0" borderId="81" xfId="0" applyFont="1" applyBorder="1" applyAlignment="1">
      <alignment horizontal="center" vertical="center" wrapText="1"/>
    </xf>
    <xf numFmtId="0" fontId="65" fillId="0" borderId="75" xfId="0" applyFont="1" applyBorder="1" applyAlignment="1">
      <alignment horizontal="center" vertical="center" wrapText="1"/>
    </xf>
    <xf numFmtId="0" fontId="65" fillId="0" borderId="0" xfId="0" applyFont="1" applyAlignment="1">
      <alignment horizontal="center" vertical="center" wrapText="1"/>
    </xf>
    <xf numFmtId="0" fontId="65" fillId="0" borderId="76"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1" xfId="0" applyFont="1" applyBorder="1" applyAlignment="1">
      <alignment horizontal="center" vertical="center" wrapText="1"/>
    </xf>
    <xf numFmtId="0" fontId="65" fillId="0" borderId="84" xfId="0" applyFont="1" applyBorder="1" applyAlignment="1">
      <alignment horizontal="center" vertical="center" wrapText="1"/>
    </xf>
    <xf numFmtId="0" fontId="79" fillId="0" borderId="5" xfId="0" applyFont="1" applyBorder="1" applyAlignment="1">
      <alignment horizontal="center" wrapText="1"/>
    </xf>
    <xf numFmtId="0" fontId="63" fillId="0" borderId="94" xfId="0" applyFont="1" applyBorder="1" applyAlignment="1">
      <alignment horizontal="center" wrapText="1"/>
    </xf>
    <xf numFmtId="0" fontId="63" fillId="0" borderId="7" xfId="0" applyFont="1" applyBorder="1" applyAlignment="1">
      <alignment horizontal="center" wrapText="1"/>
    </xf>
    <xf numFmtId="0" fontId="63" fillId="0" borderId="93" xfId="0" applyFont="1" applyBorder="1" applyAlignment="1">
      <alignment horizontal="center" wrapText="1"/>
    </xf>
    <xf numFmtId="0" fontId="63" fillId="0" borderId="9" xfId="0" applyFont="1" applyBorder="1" applyAlignment="1">
      <alignment horizontal="center" wrapText="1"/>
    </xf>
    <xf numFmtId="0" fontId="63" fillId="0" borderId="96" xfId="0" applyFont="1" applyBorder="1" applyAlignment="1">
      <alignment horizontal="center" wrapText="1"/>
    </xf>
    <xf numFmtId="0" fontId="55" fillId="0" borderId="82" xfId="0" applyFont="1" applyBorder="1" applyAlignment="1">
      <alignment horizontal="left" vertical="center"/>
    </xf>
    <xf numFmtId="0" fontId="55" fillId="0" borderId="6" xfId="0" applyFont="1" applyBorder="1" applyAlignment="1">
      <alignment horizontal="left" vertical="center"/>
    </xf>
    <xf numFmtId="0" fontId="55" fillId="0" borderId="83" xfId="0" applyFont="1" applyBorder="1" applyAlignment="1">
      <alignment horizontal="left" vertical="center"/>
    </xf>
    <xf numFmtId="0" fontId="55" fillId="0" borderId="8" xfId="0" applyFont="1" applyBorder="1" applyAlignment="1">
      <alignment horizontal="left" vertical="center"/>
    </xf>
    <xf numFmtId="0" fontId="55" fillId="0" borderId="85" xfId="0" applyFont="1" applyBorder="1" applyAlignment="1">
      <alignment horizontal="left" vertical="center"/>
    </xf>
    <xf numFmtId="0" fontId="55" fillId="0" borderId="10" xfId="0" applyFont="1" applyBorder="1" applyAlignment="1">
      <alignment horizontal="left" vertical="center"/>
    </xf>
    <xf numFmtId="0" fontId="66" fillId="0" borderId="23" xfId="0" applyFont="1" applyBorder="1" applyAlignment="1">
      <alignment horizontal="left" vertical="center" wrapText="1"/>
    </xf>
    <xf numFmtId="0" fontId="66" fillId="0" borderId="35" xfId="0" applyFont="1" applyBorder="1" applyAlignment="1">
      <alignment horizontal="left" vertical="center" wrapText="1"/>
    </xf>
    <xf numFmtId="0" fontId="65" fillId="0" borderId="102" xfId="0" applyFont="1" applyBorder="1" applyAlignment="1">
      <alignment horizontal="center" vertical="center" wrapText="1"/>
    </xf>
    <xf numFmtId="0" fontId="65" fillId="0" borderId="98" xfId="0" applyFont="1" applyBorder="1" applyAlignment="1">
      <alignment horizontal="center" vertical="center" wrapText="1"/>
    </xf>
    <xf numFmtId="0" fontId="65" fillId="0" borderId="101" xfId="0" applyFont="1" applyBorder="1" applyAlignment="1">
      <alignment horizontal="center" vertical="center" wrapText="1"/>
    </xf>
    <xf numFmtId="0" fontId="61" fillId="18" borderId="102" xfId="0" applyFont="1" applyFill="1" applyBorder="1" applyAlignment="1">
      <alignment horizontal="center" vertical="center"/>
    </xf>
    <xf numFmtId="0" fontId="61" fillId="18" borderId="98" xfId="0" applyFont="1" applyFill="1" applyBorder="1" applyAlignment="1">
      <alignment horizontal="center" vertical="center"/>
    </xf>
    <xf numFmtId="0" fontId="61" fillId="18" borderId="101" xfId="0" applyFont="1" applyFill="1" applyBorder="1" applyAlignment="1">
      <alignment horizontal="center" vertical="center"/>
    </xf>
    <xf numFmtId="0" fontId="71" fillId="18" borderId="5" xfId="0" applyFont="1" applyFill="1" applyBorder="1" applyAlignment="1">
      <alignment horizontal="center" vertical="center"/>
    </xf>
    <xf numFmtId="0" fontId="71" fillId="18" borderId="6" xfId="0" applyFont="1" applyFill="1" applyBorder="1" applyAlignment="1">
      <alignment horizontal="center" vertical="center"/>
    </xf>
    <xf numFmtId="0" fontId="71" fillId="18" borderId="9" xfId="0" applyFont="1" applyFill="1" applyBorder="1" applyAlignment="1">
      <alignment horizontal="center" vertical="center"/>
    </xf>
    <xf numFmtId="0" fontId="71" fillId="18" borderId="10" xfId="0" applyFont="1" applyFill="1" applyBorder="1" applyAlignment="1">
      <alignment horizontal="center" vertical="center"/>
    </xf>
    <xf numFmtId="0" fontId="71" fillId="19" borderId="9" xfId="0" applyFont="1" applyFill="1" applyBorder="1" applyAlignment="1">
      <alignment horizontal="center" vertical="center"/>
    </xf>
    <xf numFmtId="0" fontId="71" fillId="19" borderId="10" xfId="0" applyFont="1" applyFill="1" applyBorder="1" applyAlignment="1">
      <alignment horizontal="center" vertical="center"/>
    </xf>
    <xf numFmtId="0" fontId="63" fillId="0" borderId="5" xfId="0" applyFont="1" applyBorder="1" applyAlignment="1">
      <alignment horizontal="center" wrapText="1"/>
    </xf>
    <xf numFmtId="0" fontId="63" fillId="0" borderId="6" xfId="0" applyFont="1" applyBorder="1" applyAlignment="1">
      <alignment horizontal="center" wrapText="1"/>
    </xf>
    <xf numFmtId="0" fontId="63" fillId="0" borderId="8" xfId="0" applyFont="1" applyBorder="1" applyAlignment="1">
      <alignment horizontal="center" wrapText="1"/>
    </xf>
    <xf numFmtId="0" fontId="63" fillId="0" borderId="10" xfId="0" applyFont="1" applyBorder="1" applyAlignment="1">
      <alignment horizontal="center" wrapText="1"/>
    </xf>
    <xf numFmtId="0" fontId="71" fillId="18" borderId="5" xfId="0" applyFont="1" applyFill="1" applyBorder="1" applyAlignment="1">
      <alignment horizontal="center" vertical="center" wrapText="1"/>
    </xf>
    <xf numFmtId="0" fontId="71" fillId="18" borderId="6" xfId="0" applyFont="1" applyFill="1" applyBorder="1" applyAlignment="1">
      <alignment horizontal="center" vertical="center" wrapText="1"/>
    </xf>
    <xf numFmtId="0" fontId="71" fillId="18" borderId="9" xfId="0" applyFont="1" applyFill="1" applyBorder="1" applyAlignment="1">
      <alignment horizontal="center" vertical="center" wrapText="1"/>
    </xf>
    <xf numFmtId="0" fontId="71" fillId="18" borderId="10" xfId="0" applyFont="1" applyFill="1" applyBorder="1" applyAlignment="1">
      <alignment horizontal="center" vertical="center" wrapText="1"/>
    </xf>
    <xf numFmtId="0" fontId="55" fillId="0" borderId="5" xfId="0" applyFont="1" applyBorder="1" applyAlignment="1">
      <alignment horizontal="left" vertical="center"/>
    </xf>
    <xf numFmtId="0" fontId="55" fillId="0" borderId="7" xfId="0" applyFont="1" applyBorder="1" applyAlignment="1">
      <alignment horizontal="left" vertical="center"/>
    </xf>
    <xf numFmtId="0" fontId="55" fillId="0" borderId="9" xfId="0" applyFont="1" applyBorder="1" applyAlignment="1">
      <alignment horizontal="left" vertical="center"/>
    </xf>
    <xf numFmtId="0" fontId="77" fillId="0" borderId="110" xfId="0" applyFont="1" applyBorder="1" applyAlignment="1" applyProtection="1">
      <alignment horizontal="center" vertical="center" wrapText="1"/>
      <protection hidden="1"/>
    </xf>
    <xf numFmtId="0" fontId="77" fillId="0" borderId="22" xfId="0" applyFont="1" applyBorder="1" applyAlignment="1" applyProtection="1">
      <alignment horizontal="center" vertical="center" wrapText="1"/>
      <protection hidden="1"/>
    </xf>
    <xf numFmtId="0" fontId="66" fillId="0" borderId="110" xfId="0" applyFont="1" applyBorder="1" applyAlignment="1" applyProtection="1">
      <alignment horizontal="center" vertical="center" wrapText="1"/>
      <protection locked="0"/>
    </xf>
    <xf numFmtId="0" fontId="66" fillId="0" borderId="22" xfId="0" applyFont="1" applyBorder="1" applyAlignment="1" applyProtection="1">
      <alignment horizontal="center" vertical="center" wrapText="1"/>
      <protection locked="0"/>
    </xf>
    <xf numFmtId="165" fontId="66" fillId="0" borderId="110" xfId="0" applyNumberFormat="1" applyFont="1" applyBorder="1" applyAlignment="1" applyProtection="1">
      <alignment horizontal="center" vertical="center" wrapText="1"/>
      <protection locked="0"/>
    </xf>
    <xf numFmtId="165" fontId="66" fillId="0" borderId="22" xfId="0" applyNumberFormat="1" applyFont="1" applyBorder="1" applyAlignment="1" applyProtection="1">
      <alignment horizontal="center" vertical="center" wrapText="1"/>
      <protection locked="0"/>
    </xf>
    <xf numFmtId="0" fontId="1" fillId="0" borderId="110"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95" fillId="0" borderId="110" xfId="0" applyFont="1" applyBorder="1" applyAlignment="1" applyProtection="1">
      <alignment horizontal="center" vertical="center" wrapText="1"/>
      <protection locked="0"/>
    </xf>
    <xf numFmtId="0" fontId="95" fillId="0" borderId="22"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protection locked="0"/>
    </xf>
    <xf numFmtId="0" fontId="66" fillId="0" borderId="22" xfId="0" applyFont="1" applyBorder="1" applyAlignment="1" applyProtection="1">
      <alignment horizontal="center" vertical="center"/>
      <protection locked="0"/>
    </xf>
    <xf numFmtId="9" fontId="66" fillId="0" borderId="110" xfId="0" applyNumberFormat="1" applyFont="1" applyBorder="1" applyAlignment="1" applyProtection="1">
      <alignment horizontal="center" vertical="center" wrapText="1"/>
      <protection hidden="1"/>
    </xf>
    <xf numFmtId="9" fontId="66" fillId="0" borderId="22" xfId="0" applyNumberFormat="1" applyFont="1" applyBorder="1" applyAlignment="1" applyProtection="1">
      <alignment horizontal="center" vertical="center" wrapText="1"/>
      <protection hidden="1"/>
    </xf>
    <xf numFmtId="0" fontId="4" fillId="0" borderId="110" xfId="0" applyFont="1" applyBorder="1" applyAlignment="1" applyProtection="1">
      <alignment horizontal="center" vertical="center" wrapText="1"/>
      <protection hidden="1"/>
    </xf>
    <xf numFmtId="0" fontId="4" fillId="0" borderId="22" xfId="0" applyFont="1" applyBorder="1" applyAlignment="1" applyProtection="1">
      <alignment horizontal="center" vertical="center" wrapText="1"/>
      <protection hidden="1"/>
    </xf>
    <xf numFmtId="9" fontId="66" fillId="0" borderId="110" xfId="0" applyNumberFormat="1" applyFont="1" applyBorder="1" applyAlignment="1" applyProtection="1">
      <alignment horizontal="center" vertical="center" wrapText="1"/>
      <protection locked="0"/>
    </xf>
    <xf numFmtId="9" fontId="66" fillId="0" borderId="22" xfId="0" applyNumberFormat="1" applyFont="1" applyBorder="1" applyAlignment="1" applyProtection="1">
      <alignment horizontal="center" vertical="center" wrapText="1"/>
      <protection locked="0"/>
    </xf>
    <xf numFmtId="9" fontId="66" fillId="0" borderId="110" xfId="0" applyNumberFormat="1" applyFont="1" applyBorder="1" applyAlignment="1" applyProtection="1">
      <alignment horizontal="center" vertical="top" wrapText="1"/>
      <protection hidden="1"/>
    </xf>
    <xf numFmtId="9" fontId="66" fillId="0" borderId="22" xfId="0" applyNumberFormat="1" applyFont="1" applyBorder="1" applyAlignment="1" applyProtection="1">
      <alignment horizontal="center" vertical="top" wrapText="1"/>
      <protection hidden="1"/>
    </xf>
    <xf numFmtId="0" fontId="103" fillId="0" borderId="21" xfId="0" applyFont="1" applyBorder="1" applyAlignment="1" applyProtection="1">
      <alignment horizontal="center" vertical="center" wrapText="1"/>
      <protection locked="0"/>
    </xf>
    <xf numFmtId="0" fontId="95" fillId="0" borderId="111" xfId="0" applyFont="1" applyBorder="1" applyAlignment="1" applyProtection="1">
      <alignment horizontal="center" vertical="center" wrapText="1"/>
      <protection locked="0"/>
    </xf>
    <xf numFmtId="0" fontId="66" fillId="0" borderId="111" xfId="0" applyFont="1" applyBorder="1" applyAlignment="1" applyProtection="1">
      <alignment horizontal="center" vertical="center" wrapText="1"/>
      <protection locked="0"/>
    </xf>
    <xf numFmtId="0" fontId="66" fillId="0" borderId="110" xfId="0" applyFont="1" applyBorder="1" applyAlignment="1">
      <alignment horizontal="center" vertical="center"/>
    </xf>
    <xf numFmtId="0" fontId="66" fillId="0" borderId="22" xfId="0" applyFont="1" applyBorder="1" applyAlignment="1">
      <alignment horizontal="center" vertical="center"/>
    </xf>
    <xf numFmtId="0" fontId="66" fillId="0" borderId="110" xfId="0" applyFont="1" applyBorder="1" applyAlignment="1">
      <alignment horizontal="center" vertical="center" wrapText="1"/>
    </xf>
    <xf numFmtId="0" fontId="66" fillId="0" borderId="22" xfId="0" applyFont="1" applyBorder="1" applyAlignment="1">
      <alignment horizontal="center" vertical="center" wrapText="1"/>
    </xf>
    <xf numFmtId="0" fontId="66" fillId="0" borderId="21" xfId="0" applyFont="1" applyBorder="1" applyAlignment="1">
      <alignment horizontal="center" vertical="center" wrapText="1"/>
    </xf>
    <xf numFmtId="0" fontId="66" fillId="0" borderId="21" xfId="0" applyFont="1" applyBorder="1" applyAlignment="1">
      <alignment horizontal="center" vertical="center"/>
    </xf>
    <xf numFmtId="0" fontId="1" fillId="0" borderId="111"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66" fillId="0" borderId="111" xfId="0" applyFont="1" applyBorder="1" applyAlignment="1">
      <alignment horizontal="center" vertical="center" wrapText="1"/>
    </xf>
    <xf numFmtId="0" fontId="1" fillId="0" borderId="21" xfId="0" applyFont="1" applyBorder="1" applyAlignment="1" applyProtection="1">
      <alignment horizontal="center" vertical="center"/>
      <protection locked="0"/>
    </xf>
    <xf numFmtId="9" fontId="1" fillId="0" borderId="21" xfId="0" applyNumberFormat="1" applyFont="1" applyBorder="1" applyAlignment="1" applyProtection="1">
      <alignment horizontal="center" vertical="center" wrapText="1"/>
      <protection locked="0"/>
    </xf>
    <xf numFmtId="0" fontId="59" fillId="0" borderId="70" xfId="0" applyFont="1" applyBorder="1" applyAlignment="1">
      <alignment horizontal="center" vertical="center" wrapText="1"/>
    </xf>
    <xf numFmtId="0" fontId="60" fillId="0" borderId="70" xfId="0" applyFont="1" applyBorder="1" applyAlignment="1">
      <alignment horizontal="center" vertical="center" wrapText="1"/>
    </xf>
    <xf numFmtId="0" fontId="0" fillId="0" borderId="112" xfId="0" applyBorder="1" applyAlignment="1">
      <alignment horizontal="left" wrapText="1"/>
    </xf>
    <xf numFmtId="0" fontId="0" fillId="0" borderId="112" xfId="0" applyBorder="1" applyAlignment="1">
      <alignment horizontal="left"/>
    </xf>
    <xf numFmtId="0" fontId="72" fillId="0" borderId="110" xfId="0" applyFont="1" applyBorder="1" applyAlignment="1" applyProtection="1">
      <alignment horizontal="center" vertical="center" wrapText="1"/>
      <protection locked="0"/>
    </xf>
    <xf numFmtId="0" fontId="72" fillId="0" borderId="22" xfId="0" applyFont="1" applyBorder="1" applyAlignment="1" applyProtection="1">
      <alignment horizontal="center" vertical="center" wrapText="1"/>
      <protection locked="0"/>
    </xf>
    <xf numFmtId="9" fontId="66" fillId="0" borderId="111" xfId="0" applyNumberFormat="1" applyFont="1" applyBorder="1" applyAlignment="1" applyProtection="1">
      <alignment horizontal="center" vertical="center" wrapText="1"/>
      <protection hidden="1"/>
    </xf>
    <xf numFmtId="0" fontId="4" fillId="0" borderId="111" xfId="0" applyFont="1" applyBorder="1" applyAlignment="1" applyProtection="1">
      <alignment horizontal="center" vertical="center" wrapText="1"/>
      <protection hidden="1"/>
    </xf>
    <xf numFmtId="0" fontId="77" fillId="0" borderId="111" xfId="0" applyFont="1" applyBorder="1" applyAlignment="1" applyProtection="1">
      <alignment horizontal="center" vertical="center" wrapText="1"/>
      <protection hidden="1"/>
    </xf>
    <xf numFmtId="0" fontId="66" fillId="0" borderId="111" xfId="0" applyFont="1" applyBorder="1" applyAlignment="1" applyProtection="1">
      <alignment horizontal="center" vertical="center"/>
      <protection locked="0"/>
    </xf>
    <xf numFmtId="0" fontId="66" fillId="0" borderId="110" xfId="0" applyFont="1" applyBorder="1" applyAlignment="1" applyProtection="1">
      <alignment horizontal="left" vertical="center" wrapText="1"/>
      <protection locked="0"/>
    </xf>
    <xf numFmtId="0" fontId="66" fillId="0" borderId="22" xfId="0" applyFont="1" applyBorder="1" applyAlignment="1" applyProtection="1">
      <alignment horizontal="left" vertical="center" wrapText="1"/>
      <protection locked="0"/>
    </xf>
    <xf numFmtId="0" fontId="57" fillId="0" borderId="21" xfId="0" applyFont="1" applyBorder="1" applyAlignment="1">
      <alignment horizontal="center" vertical="center" wrapText="1"/>
    </xf>
    <xf numFmtId="0" fontId="66" fillId="0" borderId="114" xfId="0" applyFont="1" applyBorder="1" applyAlignment="1">
      <alignment horizontal="left" vertical="center" wrapText="1"/>
    </xf>
    <xf numFmtId="0" fontId="66" fillId="0" borderId="113" xfId="0" applyFont="1" applyBorder="1" applyAlignment="1">
      <alignment horizontal="left" vertical="center" wrapText="1"/>
    </xf>
    <xf numFmtId="0" fontId="96" fillId="0" borderId="21" xfId="0" applyFont="1" applyBorder="1" applyAlignment="1">
      <alignment horizontal="left" vertical="center" wrapText="1"/>
    </xf>
    <xf numFmtId="0" fontId="97" fillId="0" borderId="68" xfId="0" applyFont="1" applyBorder="1" applyAlignment="1">
      <alignment horizontal="left" vertical="center" wrapText="1"/>
    </xf>
    <xf numFmtId="0" fontId="97" fillId="0" borderId="67" xfId="0" applyFont="1" applyBorder="1" applyAlignment="1">
      <alignment horizontal="left" vertical="center" wrapText="1"/>
    </xf>
    <xf numFmtId="0" fontId="97" fillId="0" borderId="69" xfId="0" applyFont="1" applyBorder="1" applyAlignment="1">
      <alignment horizontal="left" vertical="center" wrapText="1"/>
    </xf>
    <xf numFmtId="0" fontId="66" fillId="3" borderId="110" xfId="0" applyFont="1" applyFill="1" applyBorder="1" applyAlignment="1" applyProtection="1">
      <alignment horizontal="center" vertical="center" wrapText="1"/>
      <protection locked="0"/>
    </xf>
    <xf numFmtId="0" fontId="66" fillId="3" borderId="22" xfId="0" applyFont="1" applyFill="1" applyBorder="1" applyAlignment="1" applyProtection="1">
      <alignment horizontal="center" vertical="center" wrapText="1"/>
      <protection locked="0"/>
    </xf>
    <xf numFmtId="9" fontId="66" fillId="0" borderId="111" xfId="0" applyNumberFormat="1" applyFont="1" applyBorder="1" applyAlignment="1" applyProtection="1">
      <alignment horizontal="center" vertical="center" wrapText="1"/>
      <protection locked="0"/>
    </xf>
    <xf numFmtId="0" fontId="88" fillId="16" borderId="40" xfId="0" applyFont="1" applyFill="1" applyBorder="1" applyAlignment="1">
      <alignment horizontal="center" vertical="center" wrapText="1"/>
    </xf>
    <xf numFmtId="0" fontId="88" fillId="16" borderId="57" xfId="0" applyFont="1" applyFill="1" applyBorder="1" applyAlignment="1">
      <alignment horizontal="center" vertical="center" wrapText="1"/>
    </xf>
    <xf numFmtId="0" fontId="88" fillId="16" borderId="108" xfId="0" applyFont="1" applyFill="1" applyBorder="1" applyAlignment="1">
      <alignment horizontal="center" vertical="center" wrapText="1"/>
    </xf>
    <xf numFmtId="0" fontId="88" fillId="16" borderId="63" xfId="0" applyFont="1" applyFill="1" applyBorder="1" applyAlignment="1">
      <alignment horizontal="center" vertical="center" wrapText="1"/>
    </xf>
    <xf numFmtId="0" fontId="88" fillId="19" borderId="21" xfId="0" applyFont="1" applyFill="1" applyBorder="1" applyAlignment="1">
      <alignment horizontal="center" vertical="center" wrapText="1"/>
    </xf>
    <xf numFmtId="0" fontId="88" fillId="16" borderId="21" xfId="0" applyFont="1" applyFill="1" applyBorder="1" applyAlignment="1">
      <alignment horizontal="center" vertical="center" wrapText="1"/>
    </xf>
    <xf numFmtId="0" fontId="88" fillId="16" borderId="21" xfId="0" applyFont="1" applyFill="1" applyBorder="1" applyAlignment="1">
      <alignment horizontal="center" vertical="center"/>
    </xf>
    <xf numFmtId="0" fontId="88" fillId="16" borderId="21" xfId="0" applyFont="1" applyFill="1" applyBorder="1" applyAlignment="1">
      <alignment horizontal="center" vertical="center" textRotation="90" wrapText="1"/>
    </xf>
    <xf numFmtId="0" fontId="88" fillId="16" borderId="110" xfId="0" applyFont="1" applyFill="1" applyBorder="1" applyAlignment="1">
      <alignment horizontal="center" vertical="center" wrapText="1"/>
    </xf>
    <xf numFmtId="0" fontId="88" fillId="16" borderId="22" xfId="0" applyFont="1" applyFill="1" applyBorder="1" applyAlignment="1">
      <alignment horizontal="center" vertical="center" wrapText="1"/>
    </xf>
    <xf numFmtId="0" fontId="91" fillId="19" borderId="68" xfId="0" applyFont="1" applyFill="1" applyBorder="1" applyAlignment="1">
      <alignment horizontal="center" vertical="center" wrapText="1"/>
    </xf>
    <xf numFmtId="0" fontId="91" fillId="19" borderId="69" xfId="0" applyFont="1" applyFill="1" applyBorder="1" applyAlignment="1">
      <alignment horizontal="center" vertical="center" wrapText="1"/>
    </xf>
    <xf numFmtId="0" fontId="72" fillId="0" borderId="111" xfId="0" applyFont="1" applyBorder="1" applyAlignment="1" applyProtection="1">
      <alignment horizontal="center" vertical="center" wrapText="1"/>
      <protection locked="0"/>
    </xf>
    <xf numFmtId="0" fontId="88" fillId="18" borderId="107" xfId="0" applyFont="1" applyFill="1" applyBorder="1" applyAlignment="1">
      <alignment horizontal="center" vertical="center" wrapText="1"/>
    </xf>
    <xf numFmtId="0" fontId="88" fillId="18" borderId="64" xfId="0" applyFont="1" applyFill="1" applyBorder="1" applyAlignment="1">
      <alignment horizontal="center" vertical="center" wrapText="1"/>
    </xf>
    <xf numFmtId="14" fontId="66" fillId="0" borderId="21" xfId="0" applyNumberFormat="1" applyFont="1" applyBorder="1" applyAlignment="1" applyProtection="1">
      <alignment horizontal="center" vertical="center" wrapText="1"/>
      <protection locked="0"/>
    </xf>
    <xf numFmtId="0" fontId="77" fillId="0" borderId="0" xfId="0" applyFont="1" applyAlignment="1">
      <alignment horizontal="center"/>
    </xf>
    <xf numFmtId="0" fontId="77" fillId="0" borderId="76" xfId="0" applyFont="1" applyBorder="1" applyAlignment="1">
      <alignment horizontal="center"/>
    </xf>
    <xf numFmtId="0" fontId="87" fillId="19" borderId="68" xfId="0" applyFont="1" applyFill="1" applyBorder="1" applyAlignment="1">
      <alignment horizontal="center" vertical="center"/>
    </xf>
    <xf numFmtId="0" fontId="87" fillId="19" borderId="67" xfId="0" applyFont="1" applyFill="1" applyBorder="1" applyAlignment="1">
      <alignment horizontal="center" vertical="center"/>
    </xf>
    <xf numFmtId="0" fontId="88" fillId="18" borderId="68" xfId="0" applyFont="1" applyFill="1" applyBorder="1" applyAlignment="1">
      <alignment horizontal="center" vertical="center" wrapText="1"/>
    </xf>
    <xf numFmtId="0" fontId="88" fillId="18" borderId="67" xfId="0" applyFont="1" applyFill="1" applyBorder="1" applyAlignment="1">
      <alignment horizontal="center" vertical="center" wrapText="1"/>
    </xf>
    <xf numFmtId="0" fontId="88" fillId="18" borderId="69" xfId="0" applyFont="1" applyFill="1" applyBorder="1" applyAlignment="1">
      <alignment horizontal="center" vertical="center" wrapText="1"/>
    </xf>
    <xf numFmtId="0" fontId="88" fillId="19" borderId="68" xfId="0" applyFont="1" applyFill="1" applyBorder="1" applyAlignment="1">
      <alignment horizontal="center" vertical="center" wrapText="1"/>
    </xf>
    <xf numFmtId="0" fontId="88" fillId="19" borderId="67" xfId="0" applyFont="1" applyFill="1" applyBorder="1" applyAlignment="1">
      <alignment horizontal="center" vertical="center" wrapText="1"/>
    </xf>
    <xf numFmtId="0" fontId="88" fillId="19" borderId="69" xfId="0" applyFont="1" applyFill="1" applyBorder="1" applyAlignment="1">
      <alignment horizontal="center" vertical="center" wrapText="1"/>
    </xf>
    <xf numFmtId="0" fontId="88" fillId="16" borderId="22" xfId="0" applyFont="1" applyFill="1" applyBorder="1" applyAlignment="1">
      <alignment horizontal="center" vertical="center"/>
    </xf>
    <xf numFmtId="0" fontId="88" fillId="16" borderId="110" xfId="0" applyFont="1" applyFill="1" applyBorder="1" applyAlignment="1">
      <alignment horizontal="center" vertical="center" textRotation="90"/>
    </xf>
    <xf numFmtId="0" fontId="88" fillId="16" borderId="111" xfId="0" applyFont="1" applyFill="1" applyBorder="1" applyAlignment="1">
      <alignment horizontal="center" vertical="center" textRotation="90"/>
    </xf>
    <xf numFmtId="0" fontId="88" fillId="16" borderId="22" xfId="0" applyFont="1" applyFill="1" applyBorder="1" applyAlignment="1">
      <alignment horizontal="center" vertical="center" textRotation="90"/>
    </xf>
    <xf numFmtId="0" fontId="88" fillId="16" borderId="64" xfId="0" applyFont="1" applyFill="1" applyBorder="1" applyAlignment="1">
      <alignment horizontal="center" vertical="center"/>
    </xf>
    <xf numFmtId="0" fontId="88" fillId="16" borderId="57" xfId="0" applyFont="1" applyFill="1" applyBorder="1" applyAlignment="1">
      <alignment horizontal="center" vertical="center"/>
    </xf>
    <xf numFmtId="0" fontId="88" fillId="16" borderId="21" xfId="0" applyFont="1" applyFill="1" applyBorder="1" applyAlignment="1">
      <alignment horizontal="center" vertical="center" textRotation="90"/>
    </xf>
    <xf numFmtId="0" fontId="87" fillId="16" borderId="68" xfId="0" applyFont="1" applyFill="1" applyBorder="1" applyAlignment="1">
      <alignment horizontal="left" vertical="center"/>
    </xf>
    <xf numFmtId="0" fontId="87" fillId="16" borderId="67" xfId="0" applyFont="1" applyFill="1" applyBorder="1" applyAlignment="1">
      <alignment horizontal="left" vertical="center"/>
    </xf>
    <xf numFmtId="0" fontId="87" fillId="16" borderId="69" xfId="0" applyFont="1" applyFill="1" applyBorder="1" applyAlignment="1">
      <alignment horizontal="left" vertical="center"/>
    </xf>
    <xf numFmtId="0" fontId="93" fillId="0" borderId="68" xfId="0" applyFont="1" applyBorder="1" applyAlignment="1">
      <alignment horizontal="left" vertical="center"/>
    </xf>
    <xf numFmtId="0" fontId="93" fillId="0" borderId="67" xfId="0" applyFont="1" applyBorder="1" applyAlignment="1">
      <alignment horizontal="left" vertical="center"/>
    </xf>
    <xf numFmtId="0" fontId="93" fillId="0" borderId="69" xfId="0" applyFont="1" applyBorder="1" applyAlignment="1">
      <alignment horizontal="left" vertical="center"/>
    </xf>
    <xf numFmtId="0" fontId="93" fillId="0" borderId="68" xfId="0" applyFont="1" applyBorder="1" applyAlignment="1">
      <alignment horizontal="left" vertical="center" wrapText="1"/>
    </xf>
    <xf numFmtId="0" fontId="63" fillId="0" borderId="103" xfId="0" applyFont="1" applyBorder="1" applyAlignment="1">
      <alignment horizontal="center" wrapText="1"/>
    </xf>
    <xf numFmtId="0" fontId="63" fillId="0" borderId="104" xfId="0" applyFont="1" applyBorder="1" applyAlignment="1">
      <alignment horizontal="center" wrapText="1"/>
    </xf>
    <xf numFmtId="0" fontId="63" fillId="0" borderId="92" xfId="0" applyFont="1" applyBorder="1" applyAlignment="1">
      <alignment horizontal="center" wrapText="1"/>
    </xf>
    <xf numFmtId="0" fontId="63" fillId="0" borderId="0" xfId="0" applyFont="1" applyAlignment="1">
      <alignment horizontal="center" wrapText="1"/>
    </xf>
    <xf numFmtId="0" fontId="63" fillId="0" borderId="105" xfId="0" applyFont="1" applyBorder="1" applyAlignment="1">
      <alignment horizontal="center" wrapText="1"/>
    </xf>
    <xf numFmtId="0" fontId="63" fillId="0" borderId="106" xfId="0" applyFont="1" applyBorder="1" applyAlignment="1">
      <alignment horizontal="center" wrapText="1"/>
    </xf>
    <xf numFmtId="0" fontId="92" fillId="0" borderId="109" xfId="0" applyFont="1" applyBorder="1" applyAlignment="1" applyProtection="1">
      <alignment horizontal="center" vertical="center"/>
      <protection locked="0"/>
    </xf>
    <xf numFmtId="0" fontId="92" fillId="0" borderId="115" xfId="0" applyFont="1" applyBorder="1" applyAlignment="1" applyProtection="1">
      <alignment horizontal="center" vertical="center"/>
      <protection locked="0"/>
    </xf>
    <xf numFmtId="0" fontId="92" fillId="0" borderId="21" xfId="0" applyFont="1" applyBorder="1" applyAlignment="1" applyProtection="1">
      <alignment horizontal="center" vertical="center"/>
      <protection locked="0"/>
    </xf>
    <xf numFmtId="0" fontId="92" fillId="0" borderId="26" xfId="0" applyFont="1" applyBorder="1" applyAlignment="1" applyProtection="1">
      <alignment horizontal="center" vertical="center"/>
      <protection locked="0"/>
    </xf>
    <xf numFmtId="0" fontId="92" fillId="0" borderId="28" xfId="0" applyFont="1" applyBorder="1" applyAlignment="1" applyProtection="1">
      <alignment horizontal="center" vertical="center"/>
      <protection locked="0"/>
    </xf>
    <xf numFmtId="0" fontId="92" fillId="0" borderId="29" xfId="0" applyFont="1" applyBorder="1" applyAlignment="1" applyProtection="1">
      <alignment horizontal="center" vertical="center"/>
      <protection locked="0"/>
    </xf>
    <xf numFmtId="0" fontId="55" fillId="0" borderId="67" xfId="0" applyFont="1" applyBorder="1" applyAlignment="1">
      <alignment horizontal="left" vertical="center"/>
    </xf>
    <xf numFmtId="0" fontId="55" fillId="0" borderId="69" xfId="0" applyFont="1" applyBorder="1" applyAlignment="1">
      <alignment horizontal="left" vertical="center"/>
    </xf>
    <xf numFmtId="0" fontId="55" fillId="0" borderId="21" xfId="0" applyFont="1" applyBorder="1" applyAlignment="1">
      <alignment horizontal="left" vertical="center"/>
    </xf>
    <xf numFmtId="0" fontId="66" fillId="0" borderId="65" xfId="0" applyFont="1" applyBorder="1" applyAlignment="1">
      <alignment horizontal="left" vertical="center" wrapText="1"/>
    </xf>
    <xf numFmtId="0" fontId="66" fillId="0" borderId="66" xfId="0" applyFont="1" applyBorder="1" applyAlignment="1">
      <alignment horizontal="left" vertical="center" wrapText="1"/>
    </xf>
    <xf numFmtId="0" fontId="98" fillId="19" borderId="68" xfId="0" applyFont="1" applyFill="1" applyBorder="1" applyAlignment="1">
      <alignment horizontal="center" vertical="center" wrapText="1"/>
    </xf>
    <xf numFmtId="0" fontId="98" fillId="19" borderId="69" xfId="0" applyFont="1" applyFill="1" applyBorder="1" applyAlignment="1">
      <alignment horizontal="center" vertical="center" wrapText="1"/>
    </xf>
    <xf numFmtId="0" fontId="93" fillId="0" borderId="68" xfId="0" applyFont="1" applyBorder="1" applyAlignment="1">
      <alignment vertical="center"/>
    </xf>
    <xf numFmtId="0" fontId="93" fillId="0" borderId="67" xfId="0" applyFont="1" applyBorder="1" applyAlignment="1">
      <alignment vertical="center"/>
    </xf>
    <xf numFmtId="0" fontId="93" fillId="0" borderId="69" xfId="0" applyFont="1" applyBorder="1" applyAlignment="1">
      <alignment vertical="center"/>
    </xf>
    <xf numFmtId="0" fontId="55" fillId="0" borderId="68" xfId="0" applyFont="1" applyBorder="1" applyAlignment="1">
      <alignment horizontal="left" vertical="center"/>
    </xf>
    <xf numFmtId="14" fontId="66" fillId="0" borderId="110" xfId="0" applyNumberFormat="1" applyFont="1" applyBorder="1" applyAlignment="1">
      <alignment horizontal="center" vertical="center" wrapText="1"/>
    </xf>
    <xf numFmtId="14" fontId="66" fillId="0" borderId="22" xfId="0" applyNumberFormat="1" applyFont="1" applyBorder="1" applyAlignment="1">
      <alignment horizontal="center" vertical="center" wrapText="1"/>
    </xf>
    <xf numFmtId="0" fontId="77" fillId="0" borderId="110" xfId="0" applyFont="1" applyBorder="1" applyAlignment="1" applyProtection="1">
      <alignment horizontal="center" vertical="center" textRotation="90" wrapText="1"/>
      <protection hidden="1"/>
    </xf>
    <xf numFmtId="0" fontId="77" fillId="0" borderId="22" xfId="0" applyFont="1" applyBorder="1" applyAlignment="1" applyProtection="1">
      <alignment horizontal="center" vertical="center" textRotation="90" wrapText="1"/>
      <protection hidden="1"/>
    </xf>
    <xf numFmtId="0" fontId="97" fillId="0" borderId="21" xfId="0" applyFont="1" applyBorder="1" applyAlignment="1">
      <alignment horizontal="left" vertical="center" wrapText="1"/>
    </xf>
    <xf numFmtId="0" fontId="88" fillId="16" borderId="68" xfId="0" applyFont="1" applyFill="1" applyBorder="1" applyAlignment="1">
      <alignment horizontal="center" vertical="center" wrapText="1"/>
    </xf>
    <xf numFmtId="0" fontId="88" fillId="16" borderId="67" xfId="0" applyFont="1" applyFill="1" applyBorder="1" applyAlignment="1">
      <alignment horizontal="center" vertical="center" wrapText="1"/>
    </xf>
    <xf numFmtId="0" fontId="88" fillId="16" borderId="69" xfId="0" applyFont="1" applyFill="1" applyBorder="1" applyAlignment="1">
      <alignment horizontal="center" vertical="center" wrapText="1"/>
    </xf>
    <xf numFmtId="0" fontId="87" fillId="0" borderId="67" xfId="0" applyFont="1" applyBorder="1" applyAlignment="1">
      <alignment horizontal="left" vertical="center"/>
    </xf>
    <xf numFmtId="0" fontId="87" fillId="0" borderId="69" xfId="0" applyFont="1" applyBorder="1" applyAlignment="1">
      <alignment horizontal="left" vertical="center"/>
    </xf>
    <xf numFmtId="0" fontId="77" fillId="0" borderId="110" xfId="0" applyFont="1" applyBorder="1" applyAlignment="1" applyProtection="1">
      <alignment horizontal="center" vertical="center"/>
      <protection hidden="1"/>
    </xf>
    <xf numFmtId="0" fontId="77" fillId="0" borderId="22" xfId="0" applyFont="1" applyBorder="1" applyAlignment="1" applyProtection="1">
      <alignment horizontal="center" vertical="center"/>
      <protection hidden="1"/>
    </xf>
    <xf numFmtId="0" fontId="66" fillId="0" borderId="0" xfId="0" applyFont="1" applyAlignment="1">
      <alignment horizontal="center"/>
    </xf>
    <xf numFmtId="0" fontId="66" fillId="0" borderId="76" xfId="0" applyFont="1" applyBorder="1" applyAlignment="1">
      <alignment horizontal="center"/>
    </xf>
    <xf numFmtId="0" fontId="77" fillId="13" borderId="110" xfId="0" applyFont="1" applyFill="1" applyBorder="1" applyAlignment="1" applyProtection="1">
      <alignment horizontal="center" vertical="top" textRotation="90" wrapText="1"/>
      <protection hidden="1"/>
    </xf>
    <xf numFmtId="0" fontId="77" fillId="13" borderId="22" xfId="0" applyFont="1" applyFill="1" applyBorder="1" applyAlignment="1" applyProtection="1">
      <alignment horizontal="center" vertical="top" textRotation="90" wrapText="1"/>
      <protection hidden="1"/>
    </xf>
    <xf numFmtId="0" fontId="77" fillId="0" borderId="110" xfId="0" applyFont="1" applyBorder="1" applyAlignment="1" applyProtection="1">
      <alignment horizontal="center" vertical="top" textRotation="90"/>
      <protection hidden="1"/>
    </xf>
    <xf numFmtId="0" fontId="77" fillId="0" borderId="22" xfId="0" applyFont="1" applyBorder="1" applyAlignment="1" applyProtection="1">
      <alignment horizontal="center" vertical="top" textRotation="90"/>
      <protection hidden="1"/>
    </xf>
    <xf numFmtId="0" fontId="77" fillId="0" borderId="110" xfId="0" applyFont="1" applyBorder="1" applyAlignment="1" applyProtection="1">
      <alignment horizontal="center" vertical="top" textRotation="90" wrapText="1"/>
      <protection hidden="1"/>
    </xf>
    <xf numFmtId="0" fontId="77" fillId="0" borderId="22" xfId="0" applyFont="1" applyBorder="1" applyAlignment="1" applyProtection="1">
      <alignment horizontal="center" vertical="top" textRotation="90" wrapText="1"/>
      <protection hidden="1"/>
    </xf>
    <xf numFmtId="0" fontId="88" fillId="16" borderId="110" xfId="0" applyFont="1" applyFill="1" applyBorder="1" applyAlignment="1">
      <alignment horizontal="center" vertical="center"/>
    </xf>
    <xf numFmtId="0" fontId="88" fillId="16" borderId="111" xfId="0" applyFont="1" applyFill="1" applyBorder="1" applyAlignment="1">
      <alignment horizontal="center" vertical="center"/>
    </xf>
    <xf numFmtId="14" fontId="95" fillId="3" borderId="109" xfId="0" applyNumberFormat="1" applyFont="1" applyFill="1" applyBorder="1" applyAlignment="1" applyProtection="1">
      <alignment horizontal="center" vertical="center" wrapText="1"/>
      <protection locked="0"/>
    </xf>
    <xf numFmtId="14" fontId="95" fillId="3" borderId="21" xfId="0" applyNumberFormat="1" applyFont="1" applyFill="1" applyBorder="1" applyAlignment="1" applyProtection="1">
      <alignment horizontal="center" vertical="center" wrapText="1"/>
      <protection locked="0"/>
    </xf>
    <xf numFmtId="0" fontId="95" fillId="3" borderId="109" xfId="0" applyFont="1" applyFill="1" applyBorder="1" applyAlignment="1" applyProtection="1">
      <alignment horizontal="center" vertical="center" wrapText="1"/>
      <protection locked="0"/>
    </xf>
    <xf numFmtId="0" fontId="95" fillId="3" borderId="21" xfId="0" applyFont="1" applyFill="1" applyBorder="1" applyAlignment="1" applyProtection="1">
      <alignment horizontal="center" vertical="center" wrapText="1"/>
      <protection locked="0"/>
    </xf>
    <xf numFmtId="0" fontId="66" fillId="3" borderId="83"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64" xfId="0" applyFont="1" applyFill="1" applyBorder="1" applyAlignment="1">
      <alignment horizontal="center" vertical="center" wrapText="1"/>
    </xf>
    <xf numFmtId="0" fontId="66" fillId="3" borderId="57"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101" fillId="3" borderId="109" xfId="0" applyFont="1" applyFill="1" applyBorder="1" applyAlignment="1" applyProtection="1">
      <alignment horizontal="center" vertical="center" textRotation="90" wrapText="1"/>
      <protection hidden="1"/>
    </xf>
    <xf numFmtId="0" fontId="101" fillId="3" borderId="21" xfId="0" applyFont="1" applyFill="1" applyBorder="1" applyAlignment="1" applyProtection="1">
      <alignment horizontal="center" vertical="center" textRotation="90" wrapText="1"/>
      <protection hidden="1"/>
    </xf>
    <xf numFmtId="9" fontId="95" fillId="3" borderId="109" xfId="0" applyNumberFormat="1" applyFont="1" applyFill="1" applyBorder="1" applyAlignment="1" applyProtection="1">
      <alignment horizontal="center" vertical="center" wrapText="1"/>
      <protection hidden="1"/>
    </xf>
    <xf numFmtId="9" fontId="95" fillId="3" borderId="21" xfId="0" applyNumberFormat="1" applyFont="1" applyFill="1" applyBorder="1" applyAlignment="1" applyProtection="1">
      <alignment horizontal="center" vertical="center" wrapText="1"/>
      <protection hidden="1"/>
    </xf>
    <xf numFmtId="0" fontId="95" fillId="3" borderId="109" xfId="0" applyFont="1" applyFill="1" applyBorder="1" applyAlignment="1" applyProtection="1">
      <alignment horizontal="center" vertical="center" textRotation="90" wrapText="1"/>
      <protection locked="0"/>
    </xf>
    <xf numFmtId="0" fontId="95" fillId="3" borderId="21" xfId="0" applyFont="1" applyFill="1" applyBorder="1" applyAlignment="1" applyProtection="1">
      <alignment horizontal="center" vertical="center" textRotation="90" wrapText="1"/>
      <protection locked="0"/>
    </xf>
    <xf numFmtId="0" fontId="44" fillId="3" borderId="109" xfId="0" applyFont="1" applyFill="1" applyBorder="1" applyAlignment="1" applyProtection="1">
      <alignment horizontal="center" vertical="center" wrapText="1"/>
      <protection locked="0"/>
    </xf>
    <xf numFmtId="0" fontId="44" fillId="3" borderId="21" xfId="0" applyFont="1" applyFill="1" applyBorder="1" applyAlignment="1" applyProtection="1">
      <alignment horizontal="center" vertical="center" wrapText="1"/>
      <protection locked="0"/>
    </xf>
    <xf numFmtId="164" fontId="66" fillId="3" borderId="109" xfId="1" applyNumberFormat="1" applyFont="1" applyFill="1" applyBorder="1" applyAlignment="1">
      <alignment horizontal="center" vertical="top" wrapText="1"/>
    </xf>
    <xf numFmtId="164" fontId="66" fillId="3" borderId="21" xfId="1" applyNumberFormat="1" applyFont="1" applyFill="1" applyBorder="1" applyAlignment="1">
      <alignment horizontal="center" vertical="top" wrapText="1"/>
    </xf>
    <xf numFmtId="0" fontId="95" fillId="3" borderId="109" xfId="0" applyFont="1" applyFill="1" applyBorder="1" applyAlignment="1" applyProtection="1">
      <alignment horizontal="center" vertical="center" wrapText="1"/>
      <protection hidden="1"/>
    </xf>
    <xf numFmtId="0" fontId="95" fillId="3" borderId="21" xfId="0" applyFont="1" applyFill="1" applyBorder="1" applyAlignment="1" applyProtection="1">
      <alignment horizontal="center" vertical="center" wrapText="1"/>
      <protection hidden="1"/>
    </xf>
    <xf numFmtId="9" fontId="95" fillId="3" borderId="109" xfId="0" applyNumberFormat="1" applyFont="1" applyFill="1" applyBorder="1" applyAlignment="1" applyProtection="1">
      <alignment horizontal="center" vertical="center" wrapText="1"/>
      <protection locked="0"/>
    </xf>
    <xf numFmtId="9" fontId="95" fillId="3" borderId="21" xfId="0" applyNumberFormat="1" applyFont="1" applyFill="1" applyBorder="1" applyAlignment="1" applyProtection="1">
      <alignment horizontal="center" vertical="center" wrapText="1"/>
      <protection locked="0"/>
    </xf>
    <xf numFmtId="0" fontId="49" fillId="3" borderId="109" xfId="0" applyFont="1" applyFill="1" applyBorder="1" applyAlignment="1" applyProtection="1">
      <alignment horizontal="center" vertical="center" wrapText="1"/>
      <protection hidden="1"/>
    </xf>
    <xf numFmtId="0" fontId="49" fillId="3" borderId="21" xfId="0" applyFont="1" applyFill="1" applyBorder="1" applyAlignment="1" applyProtection="1">
      <alignment horizontal="center" vertical="center" wrapText="1"/>
      <protection hidden="1"/>
    </xf>
    <xf numFmtId="0" fontId="101" fillId="3" borderId="109" xfId="0" applyFont="1" applyFill="1" applyBorder="1" applyAlignment="1" applyProtection="1">
      <alignment horizontal="center" vertical="center" wrapText="1"/>
      <protection hidden="1"/>
    </xf>
    <xf numFmtId="0" fontId="101" fillId="3" borderId="21" xfId="0" applyFont="1" applyFill="1" applyBorder="1" applyAlignment="1" applyProtection="1">
      <alignment horizontal="center" vertical="center" wrapText="1"/>
      <protection hidden="1"/>
    </xf>
    <xf numFmtId="0" fontId="95" fillId="3" borderId="109" xfId="0" applyFont="1" applyFill="1" applyBorder="1" applyAlignment="1">
      <alignment horizontal="center" vertical="center"/>
    </xf>
    <xf numFmtId="0" fontId="95" fillId="3" borderId="21" xfId="0" applyFont="1" applyFill="1" applyBorder="1" applyAlignment="1">
      <alignment horizontal="center" vertical="center"/>
    </xf>
    <xf numFmtId="0" fontId="95" fillId="3" borderId="109" xfId="0" applyFont="1" applyFill="1" applyBorder="1" applyAlignment="1" applyProtection="1">
      <alignment horizontal="center" vertical="center"/>
      <protection locked="0"/>
    </xf>
    <xf numFmtId="0" fontId="95" fillId="3" borderId="21" xfId="0" applyFont="1" applyFill="1" applyBorder="1" applyAlignment="1" applyProtection="1">
      <alignment horizontal="center" vertical="center"/>
      <protection locked="0"/>
    </xf>
    <xf numFmtId="0" fontId="95" fillId="3" borderId="99" xfId="0" applyFont="1" applyFill="1" applyBorder="1" applyAlignment="1">
      <alignment horizontal="center" vertical="center" wrapText="1"/>
    </xf>
    <xf numFmtId="0" fontId="95" fillId="3" borderId="109" xfId="0" applyFont="1" applyFill="1" applyBorder="1" applyAlignment="1">
      <alignment horizontal="center" vertical="center" wrapText="1"/>
    </xf>
    <xf numFmtId="0" fontId="95" fillId="3" borderId="25" xfId="0" applyFont="1" applyFill="1" applyBorder="1" applyAlignment="1">
      <alignment horizontal="center" vertical="center" wrapText="1"/>
    </xf>
    <xf numFmtId="0" fontId="95" fillId="3" borderId="21" xfId="0" applyFont="1" applyFill="1" applyBorder="1" applyAlignment="1">
      <alignment horizontal="center" vertical="center" wrapText="1"/>
    </xf>
    <xf numFmtId="0" fontId="95" fillId="3" borderId="68" xfId="0" applyFont="1" applyFill="1" applyBorder="1" applyAlignment="1">
      <alignment horizontal="center" vertical="center" wrapText="1"/>
    </xf>
    <xf numFmtId="0" fontId="95" fillId="3" borderId="27" xfId="0" applyFont="1" applyFill="1" applyBorder="1" applyAlignment="1">
      <alignment horizontal="center" vertical="center" wrapText="1"/>
    </xf>
    <xf numFmtId="0" fontId="95" fillId="3" borderId="28" xfId="0" applyFont="1" applyFill="1" applyBorder="1" applyAlignment="1">
      <alignment horizontal="center" vertical="center" wrapText="1"/>
    </xf>
    <xf numFmtId="0" fontId="95" fillId="3" borderId="116" xfId="0" applyFont="1" applyFill="1" applyBorder="1" applyAlignment="1">
      <alignment horizontal="center" vertical="center" wrapText="1"/>
    </xf>
    <xf numFmtId="0" fontId="95" fillId="3" borderId="109" xfId="0" applyFont="1" applyFill="1" applyBorder="1" applyAlignment="1" applyProtection="1">
      <alignment horizontal="center" wrapText="1"/>
      <protection locked="0"/>
    </xf>
    <xf numFmtId="0" fontId="95" fillId="3" borderId="21" xfId="0" applyFont="1" applyFill="1" applyBorder="1" applyAlignment="1" applyProtection="1">
      <alignment horizontal="center" wrapText="1"/>
      <protection locked="0"/>
    </xf>
    <xf numFmtId="0" fontId="66" fillId="3" borderId="21" xfId="0" applyFont="1" applyFill="1" applyBorder="1" applyAlignment="1">
      <alignment horizontal="center" vertical="center"/>
    </xf>
    <xf numFmtId="0" fontId="66" fillId="3" borderId="110" xfId="0" applyFont="1" applyFill="1" applyBorder="1" applyAlignment="1">
      <alignment horizontal="center" vertical="center"/>
    </xf>
    <xf numFmtId="0" fontId="66" fillId="3" borderId="109" xfId="0" applyFont="1" applyFill="1" applyBorder="1" applyAlignment="1" applyProtection="1">
      <alignment horizontal="center" vertical="center" wrapText="1"/>
      <protection locked="0"/>
    </xf>
    <xf numFmtId="0" fontId="66" fillId="3" borderId="21" xfId="0" applyFont="1" applyFill="1" applyBorder="1" applyAlignment="1" applyProtection="1">
      <alignment horizontal="center" vertical="center" wrapText="1"/>
      <protection locked="0"/>
    </xf>
    <xf numFmtId="0" fontId="66" fillId="3" borderId="28" xfId="0" applyFont="1" applyFill="1" applyBorder="1" applyAlignment="1" applyProtection="1">
      <alignment horizontal="center" vertical="center" wrapText="1"/>
      <protection locked="0"/>
    </xf>
    <xf numFmtId="0" fontId="66" fillId="3" borderId="21" xfId="0" applyFont="1" applyFill="1" applyBorder="1" applyAlignment="1" applyProtection="1">
      <alignment horizontal="center" vertical="center"/>
      <protection locked="0"/>
    </xf>
    <xf numFmtId="0" fontId="66" fillId="3" borderId="28" xfId="0" applyFont="1" applyFill="1" applyBorder="1" applyAlignment="1" applyProtection="1">
      <alignment horizontal="center" vertical="center"/>
      <protection locked="0"/>
    </xf>
    <xf numFmtId="0" fontId="72" fillId="3" borderId="109" xfId="0" applyFont="1" applyFill="1" applyBorder="1" applyAlignment="1" applyProtection="1">
      <alignment horizontal="center" vertical="center" wrapText="1"/>
      <protection locked="0"/>
    </xf>
    <xf numFmtId="0" fontId="72" fillId="3" borderId="21" xfId="0" applyFont="1" applyFill="1" applyBorder="1" applyAlignment="1" applyProtection="1">
      <alignment horizontal="center" vertical="center" wrapText="1"/>
      <protection locked="0"/>
    </xf>
    <xf numFmtId="0" fontId="72" fillId="3" borderId="28" xfId="0" applyFont="1" applyFill="1" applyBorder="1" applyAlignment="1" applyProtection="1">
      <alignment horizontal="center" vertical="center" wrapText="1"/>
      <protection locked="0"/>
    </xf>
    <xf numFmtId="0" fontId="88" fillId="16" borderId="76" xfId="0" applyFont="1" applyFill="1" applyBorder="1" applyAlignment="1">
      <alignment horizontal="center" vertical="center" wrapText="1"/>
    </xf>
    <xf numFmtId="0" fontId="88" fillId="19" borderId="110" xfId="0" applyFont="1" applyFill="1" applyBorder="1" applyAlignment="1">
      <alignment horizontal="center" vertical="center" wrapText="1"/>
    </xf>
    <xf numFmtId="0" fontId="66" fillId="3" borderId="99" xfId="0" applyFont="1" applyFill="1" applyBorder="1" applyAlignment="1">
      <alignment horizontal="center" vertical="center" wrapText="1"/>
    </xf>
    <xf numFmtId="0" fontId="66" fillId="3" borderId="25" xfId="0" applyFont="1" applyFill="1" applyBorder="1" applyAlignment="1">
      <alignment horizontal="center" vertical="center" wrapText="1"/>
    </xf>
    <xf numFmtId="0" fontId="66" fillId="3" borderId="27" xfId="0" applyFont="1" applyFill="1" applyBorder="1" applyAlignment="1">
      <alignment horizontal="center" vertical="center" wrapText="1"/>
    </xf>
    <xf numFmtId="0" fontId="66" fillId="3" borderId="109" xfId="0" applyFont="1" applyFill="1" applyBorder="1" applyAlignment="1">
      <alignment horizontal="center" vertical="center" wrapText="1"/>
    </xf>
    <xf numFmtId="0" fontId="66" fillId="3" borderId="28" xfId="0" applyFont="1" applyFill="1" applyBorder="1" applyAlignment="1">
      <alignment horizontal="center" vertical="center" wrapText="1"/>
    </xf>
    <xf numFmtId="0" fontId="88" fillId="18" borderId="83" xfId="0" applyFont="1" applyFill="1" applyBorder="1" applyAlignment="1">
      <alignment horizontal="center" vertical="center" wrapText="1"/>
    </xf>
    <xf numFmtId="0" fontId="88" fillId="16" borderId="0" xfId="0" applyFont="1" applyFill="1" applyAlignment="1">
      <alignment horizontal="center" vertical="center" wrapText="1"/>
    </xf>
    <xf numFmtId="0" fontId="88" fillId="16" borderId="110" xfId="0" applyFont="1" applyFill="1" applyBorder="1" applyAlignment="1">
      <alignment horizontal="center" vertical="center" textRotation="90" wrapText="1"/>
    </xf>
    <xf numFmtId="0" fontId="88" fillId="16" borderId="111" xfId="0" applyFont="1" applyFill="1" applyBorder="1" applyAlignment="1">
      <alignment horizontal="center" vertical="center" wrapText="1"/>
    </xf>
    <xf numFmtId="0" fontId="88" fillId="16" borderId="69" xfId="0" applyFont="1" applyFill="1" applyBorder="1" applyAlignment="1">
      <alignment horizontal="center" vertical="center" textRotation="90"/>
    </xf>
    <xf numFmtId="0" fontId="88" fillId="16" borderId="108" xfId="0" applyFont="1" applyFill="1" applyBorder="1" applyAlignment="1">
      <alignment horizontal="center" vertical="center" textRotation="90"/>
    </xf>
    <xf numFmtId="0" fontId="91" fillId="19" borderId="67" xfId="0" applyFont="1" applyFill="1" applyBorder="1" applyAlignment="1">
      <alignment horizontal="center" vertical="center" wrapText="1"/>
    </xf>
    <xf numFmtId="0" fontId="88" fillId="16" borderId="68" xfId="0" applyFont="1" applyFill="1" applyBorder="1" applyAlignment="1">
      <alignment horizontal="center" vertical="center"/>
    </xf>
    <xf numFmtId="0" fontId="88" fillId="16" borderId="67" xfId="0" applyFont="1" applyFill="1" applyBorder="1" applyAlignment="1">
      <alignment horizontal="center" vertical="center"/>
    </xf>
    <xf numFmtId="0" fontId="0" fillId="5" borderId="0" xfId="0" applyFill="1" applyAlignment="1">
      <alignment horizontal="center"/>
    </xf>
    <xf numFmtId="0" fontId="55" fillId="0" borderId="12" xfId="0" applyFont="1" applyBorder="1" applyAlignment="1">
      <alignment horizontal="left" vertical="center"/>
    </xf>
    <xf numFmtId="0" fontId="55" fillId="0" borderId="0" xfId="0" applyFont="1" applyAlignment="1">
      <alignment horizontal="left" vertical="center"/>
    </xf>
    <xf numFmtId="0" fontId="55" fillId="0" borderId="11" xfId="0" applyFont="1" applyBorder="1" applyAlignment="1">
      <alignment horizontal="left" vertical="center"/>
    </xf>
    <xf numFmtId="0" fontId="55" fillId="0" borderId="5" xfId="0" applyFont="1" applyBorder="1" applyAlignment="1">
      <alignment horizontal="center" vertical="center"/>
    </xf>
    <xf numFmtId="0" fontId="55" fillId="0" borderId="12" xfId="0" applyFont="1" applyBorder="1" applyAlignment="1">
      <alignment horizontal="center" vertical="center"/>
    </xf>
    <xf numFmtId="0" fontId="55" fillId="0" borderId="6" xfId="0" applyFont="1" applyBorder="1" applyAlignment="1">
      <alignment horizontal="center" vertical="center"/>
    </xf>
    <xf numFmtId="0" fontId="55" fillId="0" borderId="7" xfId="0" applyFont="1" applyBorder="1" applyAlignment="1">
      <alignment horizontal="center" vertical="center"/>
    </xf>
    <xf numFmtId="0" fontId="55" fillId="0" borderId="0" xfId="0" applyFont="1" applyAlignment="1">
      <alignment horizontal="center" vertical="center"/>
    </xf>
    <xf numFmtId="0" fontId="55" fillId="0" borderId="8" xfId="0" applyFont="1" applyBorder="1" applyAlignment="1">
      <alignment horizontal="center" vertical="center"/>
    </xf>
    <xf numFmtId="0" fontId="55" fillId="0" borderId="9" xfId="0" applyFont="1" applyBorder="1" applyAlignment="1">
      <alignment horizontal="center" vertical="center"/>
    </xf>
    <xf numFmtId="0" fontId="55" fillId="0" borderId="11" xfId="0" applyFont="1" applyBorder="1" applyAlignment="1">
      <alignment horizontal="center" vertical="center"/>
    </xf>
    <xf numFmtId="0" fontId="55" fillId="0" borderId="10" xfId="0" applyFont="1" applyBorder="1" applyAlignment="1">
      <alignment horizontal="center" vertical="center"/>
    </xf>
    <xf numFmtId="0" fontId="68" fillId="0" borderId="5" xfId="0" applyFont="1" applyBorder="1" applyAlignment="1">
      <alignment horizontal="center" wrapText="1"/>
    </xf>
    <xf numFmtId="0" fontId="68" fillId="0" borderId="12" xfId="0" applyFont="1" applyBorder="1" applyAlignment="1">
      <alignment horizontal="center" wrapText="1"/>
    </xf>
    <xf numFmtId="0" fontId="68" fillId="0" borderId="6" xfId="0" applyFont="1" applyBorder="1" applyAlignment="1">
      <alignment horizontal="center" wrapText="1"/>
    </xf>
    <xf numFmtId="0" fontId="68" fillId="0" borderId="7" xfId="0" applyFont="1" applyBorder="1" applyAlignment="1">
      <alignment horizontal="center" wrapText="1"/>
    </xf>
    <xf numFmtId="0" fontId="68" fillId="0" borderId="0" xfId="0" applyFont="1" applyAlignment="1">
      <alignment horizontal="center" wrapText="1"/>
    </xf>
    <xf numFmtId="0" fontId="68" fillId="0" borderId="8" xfId="0" applyFont="1" applyBorder="1" applyAlignment="1">
      <alignment horizontal="center" wrapText="1"/>
    </xf>
    <xf numFmtId="0" fontId="68" fillId="0" borderId="9" xfId="0" applyFont="1" applyBorder="1" applyAlignment="1">
      <alignment horizontal="center" wrapText="1"/>
    </xf>
    <xf numFmtId="0" fontId="68" fillId="0" borderId="11" xfId="0" applyFont="1" applyBorder="1" applyAlignment="1">
      <alignment horizontal="center" wrapText="1"/>
    </xf>
    <xf numFmtId="0" fontId="68" fillId="0" borderId="10" xfId="0" applyFont="1" applyBorder="1" applyAlignment="1">
      <alignment horizontal="center" wrapText="1"/>
    </xf>
    <xf numFmtId="0" fontId="17" fillId="10" borderId="0" xfId="0" applyFont="1" applyFill="1" applyAlignment="1">
      <alignment horizontal="center" vertical="center" textRotation="90" wrapText="1" readingOrder="1"/>
    </xf>
    <xf numFmtId="0" fontId="17" fillId="10" borderId="8" xfId="0" applyFont="1" applyFill="1" applyBorder="1" applyAlignment="1">
      <alignment horizontal="center" vertical="center" textRotation="90" wrapText="1" readingOrder="1"/>
    </xf>
    <xf numFmtId="0" fontId="19" fillId="12" borderId="13" xfId="0" applyFont="1" applyFill="1" applyBorder="1" applyAlignment="1">
      <alignment horizontal="center" vertical="center" wrapText="1" readingOrder="1"/>
    </xf>
    <xf numFmtId="0" fontId="19" fillId="12" borderId="14" xfId="0" applyFont="1" applyFill="1" applyBorder="1" applyAlignment="1">
      <alignment horizontal="center" vertical="center" wrapText="1" readingOrder="1"/>
    </xf>
    <xf numFmtId="0" fontId="19" fillId="12" borderId="15" xfId="0" applyFont="1" applyFill="1" applyBorder="1" applyAlignment="1">
      <alignment horizontal="center" vertical="center" wrapText="1" readingOrder="1"/>
    </xf>
    <xf numFmtId="0" fontId="19" fillId="12" borderId="16" xfId="0" applyFont="1" applyFill="1" applyBorder="1" applyAlignment="1">
      <alignment horizontal="center" vertical="center" wrapText="1" readingOrder="1"/>
    </xf>
    <xf numFmtId="0" fontId="19" fillId="12" borderId="0" xfId="0" applyFont="1" applyFill="1" applyAlignment="1">
      <alignment horizontal="center" vertical="center" wrapText="1" readingOrder="1"/>
    </xf>
    <xf numFmtId="0" fontId="19" fillId="12" borderId="17" xfId="0" applyFont="1" applyFill="1" applyBorder="1" applyAlignment="1">
      <alignment horizontal="center" vertical="center" wrapText="1" readingOrder="1"/>
    </xf>
    <xf numFmtId="0" fontId="19" fillId="12" borderId="18" xfId="0" applyFont="1" applyFill="1" applyBorder="1" applyAlignment="1">
      <alignment horizontal="center" vertical="center" wrapText="1" readingOrder="1"/>
    </xf>
    <xf numFmtId="0" fontId="19" fillId="12" borderId="19" xfId="0" applyFont="1" applyFill="1" applyBorder="1" applyAlignment="1">
      <alignment horizontal="center" vertical="center" wrapText="1" readingOrder="1"/>
    </xf>
    <xf numFmtId="0" fontId="19" fillId="12" borderId="20" xfId="0" applyFont="1" applyFill="1" applyBorder="1" applyAlignment="1">
      <alignment horizontal="center" vertical="center" wrapText="1" readingOrder="1"/>
    </xf>
    <xf numFmtId="0" fontId="19" fillId="11" borderId="13" xfId="0" applyFont="1" applyFill="1" applyBorder="1" applyAlignment="1">
      <alignment horizontal="center" vertical="center" wrapText="1" readingOrder="1"/>
    </xf>
    <xf numFmtId="0" fontId="19" fillId="11" borderId="14" xfId="0" applyFont="1" applyFill="1" applyBorder="1" applyAlignment="1">
      <alignment horizontal="center" vertical="center" wrapText="1" readingOrder="1"/>
    </xf>
    <xf numFmtId="0" fontId="19" fillId="11" borderId="15" xfId="0" applyFont="1" applyFill="1" applyBorder="1" applyAlignment="1">
      <alignment horizontal="center" vertical="center" wrapText="1" readingOrder="1"/>
    </xf>
    <xf numFmtId="0" fontId="19" fillId="11" borderId="16" xfId="0" applyFont="1" applyFill="1" applyBorder="1" applyAlignment="1">
      <alignment horizontal="center" vertical="center" wrapText="1" readingOrder="1"/>
    </xf>
    <xf numFmtId="0" fontId="19" fillId="11" borderId="0" xfId="0" applyFont="1" applyFill="1" applyAlignment="1">
      <alignment horizontal="center" vertical="center" wrapText="1" readingOrder="1"/>
    </xf>
    <xf numFmtId="0" fontId="19" fillId="11" borderId="17" xfId="0" applyFont="1" applyFill="1" applyBorder="1" applyAlignment="1">
      <alignment horizontal="center" vertical="center" wrapText="1" readingOrder="1"/>
    </xf>
    <xf numFmtId="0" fontId="19" fillId="11" borderId="18" xfId="0" applyFont="1" applyFill="1" applyBorder="1" applyAlignment="1">
      <alignment horizontal="center" vertical="center" wrapText="1" readingOrder="1"/>
    </xf>
    <xf numFmtId="0" fontId="19" fillId="11" borderId="19" xfId="0" applyFont="1" applyFill="1" applyBorder="1" applyAlignment="1">
      <alignment horizontal="center" vertical="center" wrapText="1" readingOrder="1"/>
    </xf>
    <xf numFmtId="0" fontId="19" fillId="11" borderId="20" xfId="0" applyFont="1" applyFill="1" applyBorder="1" applyAlignment="1">
      <alignment horizontal="center" vertical="center" wrapText="1" readingOrder="1"/>
    </xf>
    <xf numFmtId="0" fontId="19" fillId="13" borderId="13" xfId="0" applyFont="1" applyFill="1" applyBorder="1" applyAlignment="1">
      <alignment horizontal="center" vertical="center" wrapText="1" readingOrder="1"/>
    </xf>
    <xf numFmtId="0" fontId="19" fillId="13" borderId="14" xfId="0" applyFont="1" applyFill="1" applyBorder="1" applyAlignment="1">
      <alignment horizontal="center" vertical="center" wrapText="1" readingOrder="1"/>
    </xf>
    <xf numFmtId="0" fontId="19" fillId="13" borderId="15" xfId="0" applyFont="1" applyFill="1" applyBorder="1" applyAlignment="1">
      <alignment horizontal="center" vertical="center" wrapText="1" readingOrder="1"/>
    </xf>
    <xf numFmtId="0" fontId="19" fillId="13" borderId="16" xfId="0" applyFont="1" applyFill="1" applyBorder="1" applyAlignment="1">
      <alignment horizontal="center" vertical="center" wrapText="1" readingOrder="1"/>
    </xf>
    <xf numFmtId="0" fontId="19" fillId="13" borderId="0" xfId="0" applyFont="1" applyFill="1" applyAlignment="1">
      <alignment horizontal="center" vertical="center" wrapText="1" readingOrder="1"/>
    </xf>
    <xf numFmtId="0" fontId="19" fillId="13" borderId="17" xfId="0" applyFont="1" applyFill="1" applyBorder="1" applyAlignment="1">
      <alignment horizontal="center" vertical="center" wrapText="1" readingOrder="1"/>
    </xf>
    <xf numFmtId="0" fontId="19" fillId="13" borderId="18" xfId="0" applyFont="1" applyFill="1" applyBorder="1" applyAlignment="1">
      <alignment horizontal="center" vertical="center" wrapText="1" readingOrder="1"/>
    </xf>
    <xf numFmtId="0" fontId="19" fillId="13" borderId="19" xfId="0" applyFont="1" applyFill="1" applyBorder="1" applyAlignment="1">
      <alignment horizontal="center" vertical="center" wrapText="1" readingOrder="1"/>
    </xf>
    <xf numFmtId="0" fontId="19" fillId="13" borderId="20" xfId="0" applyFont="1" applyFill="1" applyBorder="1" applyAlignment="1">
      <alignment horizontal="center" vertical="center" wrapText="1" readingOrder="1"/>
    </xf>
    <xf numFmtId="0" fontId="19" fillId="5" borderId="13" xfId="0" applyFont="1" applyFill="1" applyBorder="1" applyAlignment="1">
      <alignment horizontal="center" vertical="center" wrapText="1" readingOrder="1"/>
    </xf>
    <xf numFmtId="0" fontId="19" fillId="5" borderId="14" xfId="0" applyFont="1" applyFill="1" applyBorder="1" applyAlignment="1">
      <alignment horizontal="center" vertical="center" wrapText="1" readingOrder="1"/>
    </xf>
    <xf numFmtId="0" fontId="19" fillId="5" borderId="15" xfId="0" applyFont="1" applyFill="1" applyBorder="1" applyAlignment="1">
      <alignment horizontal="center" vertical="center" wrapText="1" readingOrder="1"/>
    </xf>
    <xf numFmtId="0" fontId="19" fillId="5" borderId="16" xfId="0" applyFont="1" applyFill="1" applyBorder="1" applyAlignment="1">
      <alignment horizontal="center" vertical="center" wrapText="1" readingOrder="1"/>
    </xf>
    <xf numFmtId="0" fontId="19" fillId="5" borderId="0" xfId="0" applyFont="1" applyFill="1" applyAlignment="1">
      <alignment horizontal="center" vertical="center" wrapText="1" readingOrder="1"/>
    </xf>
    <xf numFmtId="0" fontId="19" fillId="5" borderId="17" xfId="0" applyFont="1" applyFill="1" applyBorder="1" applyAlignment="1">
      <alignment horizontal="center" vertical="center" wrapText="1" readingOrder="1"/>
    </xf>
    <xf numFmtId="0" fontId="19" fillId="5" borderId="18" xfId="0" applyFont="1" applyFill="1" applyBorder="1" applyAlignment="1">
      <alignment horizontal="center" vertical="center" wrapText="1" readingOrder="1"/>
    </xf>
    <xf numFmtId="0" fontId="19" fillId="5" borderId="19" xfId="0" applyFont="1" applyFill="1" applyBorder="1" applyAlignment="1">
      <alignment horizontal="center" vertical="center" wrapText="1" readingOrder="1"/>
    </xf>
    <xf numFmtId="0" fontId="19" fillId="5" borderId="20" xfId="0" applyFont="1" applyFill="1" applyBorder="1" applyAlignment="1">
      <alignment horizontal="center" vertical="center" wrapText="1" readingOrder="1"/>
    </xf>
    <xf numFmtId="0" fontId="16" fillId="0" borderId="5" xfId="0" applyFont="1" applyBorder="1" applyAlignment="1">
      <alignment horizontal="center" vertical="center" wrapText="1"/>
    </xf>
    <xf numFmtId="0" fontId="16" fillId="0" borderId="12"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Alignment="1">
      <alignment horizontal="center" vertical="center"/>
    </xf>
    <xf numFmtId="0" fontId="16" fillId="0" borderId="9" xfId="0" applyFont="1" applyBorder="1" applyAlignment="1">
      <alignment horizontal="center" vertical="center"/>
    </xf>
    <xf numFmtId="0" fontId="16" fillId="0" borderId="11" xfId="0" applyFont="1" applyBorder="1" applyAlignment="1">
      <alignment horizontal="center" vertical="center"/>
    </xf>
    <xf numFmtId="0" fontId="17" fillId="20" borderId="0" xfId="0" applyFont="1" applyFill="1" applyAlignment="1">
      <alignment horizontal="center" vertical="center" wrapText="1" readingOrder="1"/>
    </xf>
    <xf numFmtId="0" fontId="110" fillId="11" borderId="0" xfId="0" applyFont="1" applyFill="1" applyAlignment="1" applyProtection="1">
      <alignment horizontal="center" vertical="center" wrapText="1" readingOrder="1"/>
      <protection hidden="1"/>
    </xf>
    <xf numFmtId="0" fontId="110" fillId="11" borderId="5" xfId="0" applyFont="1" applyFill="1" applyBorder="1" applyAlignment="1" applyProtection="1">
      <alignment horizontal="center" vertical="center" wrapText="1" readingOrder="1"/>
      <protection hidden="1"/>
    </xf>
    <xf numFmtId="0" fontId="110" fillId="11" borderId="12" xfId="0" applyFont="1" applyFill="1" applyBorder="1" applyAlignment="1" applyProtection="1">
      <alignment horizontal="center" vertical="center" wrapText="1" readingOrder="1"/>
      <protection hidden="1"/>
    </xf>
    <xf numFmtId="0" fontId="110" fillId="11" borderId="7" xfId="0" applyFont="1" applyFill="1" applyBorder="1" applyAlignment="1" applyProtection="1">
      <alignment horizontal="center" vertical="center" wrapText="1" readingOrder="1"/>
      <protection hidden="1"/>
    </xf>
    <xf numFmtId="0" fontId="16" fillId="0" borderId="7" xfId="0" applyFont="1" applyBorder="1" applyAlignment="1">
      <alignment horizontal="center" vertical="center" wrapText="1"/>
    </xf>
    <xf numFmtId="0" fontId="16" fillId="0" borderId="8" xfId="0" applyFont="1" applyBorder="1" applyAlignment="1">
      <alignment horizontal="center" vertical="center"/>
    </xf>
    <xf numFmtId="0" fontId="16" fillId="0" borderId="10" xfId="0" applyFont="1" applyBorder="1" applyAlignment="1">
      <alignment horizontal="center" vertical="center"/>
    </xf>
    <xf numFmtId="0" fontId="16" fillId="0" borderId="6" xfId="0" applyFont="1" applyBorder="1" applyAlignment="1">
      <alignment horizontal="center" vertical="center"/>
    </xf>
    <xf numFmtId="0" fontId="110" fillId="11" borderId="8" xfId="0" applyFont="1" applyFill="1" applyBorder="1" applyAlignment="1" applyProtection="1">
      <alignment horizontal="center" vertical="center" wrapText="1" readingOrder="1"/>
      <protection hidden="1"/>
    </xf>
    <xf numFmtId="0" fontId="110" fillId="11" borderId="11" xfId="0" applyFont="1" applyFill="1" applyBorder="1" applyAlignment="1" applyProtection="1">
      <alignment horizontal="center" vertical="center" wrapText="1" readingOrder="1"/>
      <protection hidden="1"/>
    </xf>
    <xf numFmtId="0" fontId="110" fillId="11" borderId="10" xfId="0" applyFont="1" applyFill="1" applyBorder="1" applyAlignment="1" applyProtection="1">
      <alignment horizontal="center" vertical="center" wrapText="1" readingOrder="1"/>
      <protection hidden="1"/>
    </xf>
    <xf numFmtId="0" fontId="110" fillId="13" borderId="7" xfId="0" applyFont="1" applyFill="1" applyBorder="1" applyAlignment="1" applyProtection="1">
      <alignment horizontal="center" wrapText="1" readingOrder="1"/>
      <protection hidden="1"/>
    </xf>
    <xf numFmtId="0" fontId="110" fillId="13" borderId="0" xfId="0" applyFont="1" applyFill="1" applyAlignment="1" applyProtection="1">
      <alignment horizontal="center" wrapText="1" readingOrder="1"/>
      <protection hidden="1"/>
    </xf>
    <xf numFmtId="0" fontId="16" fillId="0" borderId="12" xfId="0" applyFont="1" applyBorder="1" applyAlignment="1">
      <alignment horizontal="center" vertical="center" wrapText="1"/>
    </xf>
    <xf numFmtId="0" fontId="110" fillId="11" borderId="9" xfId="0" applyFont="1" applyFill="1" applyBorder="1" applyAlignment="1" applyProtection="1">
      <alignment horizontal="center" vertical="center" wrapText="1" readingOrder="1"/>
      <protection hidden="1"/>
    </xf>
    <xf numFmtId="0" fontId="110" fillId="11" borderId="6" xfId="0" applyFont="1" applyFill="1" applyBorder="1" applyAlignment="1" applyProtection="1">
      <alignment horizontal="center" vertical="center" wrapText="1" readingOrder="1"/>
      <protection hidden="1"/>
    </xf>
    <xf numFmtId="0" fontId="110" fillId="12" borderId="7" xfId="0" applyFont="1" applyFill="1" applyBorder="1" applyAlignment="1" applyProtection="1">
      <alignment horizontal="center" wrapText="1" readingOrder="1"/>
      <protection hidden="1"/>
    </xf>
    <xf numFmtId="0" fontId="110" fillId="12" borderId="0" xfId="0" applyFont="1" applyFill="1" applyAlignment="1" applyProtection="1">
      <alignment horizontal="center" wrapText="1" readingOrder="1"/>
      <protection hidden="1"/>
    </xf>
    <xf numFmtId="0" fontId="110" fillId="12" borderId="8" xfId="0" applyFont="1" applyFill="1" applyBorder="1" applyAlignment="1" applyProtection="1">
      <alignment horizontal="center" wrapText="1" readingOrder="1"/>
      <protection hidden="1"/>
    </xf>
    <xf numFmtId="0" fontId="110" fillId="12" borderId="5" xfId="0" applyFont="1" applyFill="1" applyBorder="1" applyAlignment="1" applyProtection="1">
      <alignment horizontal="center" wrapText="1" readingOrder="1"/>
      <protection hidden="1"/>
    </xf>
    <xf numFmtId="0" fontId="110" fillId="12" borderId="12" xfId="0" applyFont="1" applyFill="1" applyBorder="1" applyAlignment="1" applyProtection="1">
      <alignment horizontal="center" wrapText="1" readingOrder="1"/>
      <protection hidden="1"/>
    </xf>
    <xf numFmtId="0" fontId="110" fillId="12" borderId="6" xfId="0" applyFont="1" applyFill="1" applyBorder="1" applyAlignment="1" applyProtection="1">
      <alignment horizontal="center" wrapText="1" readingOrder="1"/>
      <protection hidden="1"/>
    </xf>
    <xf numFmtId="0" fontId="110" fillId="12" borderId="9" xfId="0" applyFont="1" applyFill="1" applyBorder="1" applyAlignment="1" applyProtection="1">
      <alignment horizontal="center" wrapText="1" readingOrder="1"/>
      <protection hidden="1"/>
    </xf>
    <xf numFmtId="0" fontId="110" fillId="12" borderId="11" xfId="0" applyFont="1" applyFill="1" applyBorder="1" applyAlignment="1" applyProtection="1">
      <alignment horizontal="center" wrapText="1" readingOrder="1"/>
      <protection hidden="1"/>
    </xf>
    <xf numFmtId="0" fontId="110" fillId="12" borderId="10" xfId="0" applyFont="1" applyFill="1" applyBorder="1" applyAlignment="1" applyProtection="1">
      <alignment horizontal="center" wrapText="1" readingOrder="1"/>
      <protection hidden="1"/>
    </xf>
    <xf numFmtId="0" fontId="110" fillId="13" borderId="8" xfId="0" applyFont="1" applyFill="1" applyBorder="1" applyAlignment="1" applyProtection="1">
      <alignment horizontal="center" wrapText="1" readingOrder="1"/>
      <protection hidden="1"/>
    </xf>
    <xf numFmtId="0" fontId="110" fillId="13" borderId="9" xfId="0" applyFont="1" applyFill="1" applyBorder="1" applyAlignment="1" applyProtection="1">
      <alignment horizontal="center" wrapText="1" readingOrder="1"/>
      <protection hidden="1"/>
    </xf>
    <xf numFmtId="0" fontId="110" fillId="13" borderId="11" xfId="0" applyFont="1" applyFill="1" applyBorder="1" applyAlignment="1" applyProtection="1">
      <alignment horizontal="center" wrapText="1" readingOrder="1"/>
      <protection hidden="1"/>
    </xf>
    <xf numFmtId="0" fontId="110" fillId="13" borderId="10" xfId="0" applyFont="1" applyFill="1" applyBorder="1" applyAlignment="1" applyProtection="1">
      <alignment horizontal="center" wrapText="1" readingOrder="1"/>
      <protection hidden="1"/>
    </xf>
    <xf numFmtId="0" fontId="110" fillId="13" borderId="5" xfId="0" applyFont="1" applyFill="1" applyBorder="1" applyAlignment="1" applyProtection="1">
      <alignment horizontal="center" wrapText="1" readingOrder="1"/>
      <protection hidden="1"/>
    </xf>
    <xf numFmtId="0" fontId="110" fillId="13" borderId="12" xfId="0" applyFont="1" applyFill="1" applyBorder="1" applyAlignment="1" applyProtection="1">
      <alignment horizontal="center" wrapText="1" readingOrder="1"/>
      <protection hidden="1"/>
    </xf>
    <xf numFmtId="0" fontId="110" fillId="13" borderId="6" xfId="0" applyFont="1" applyFill="1" applyBorder="1" applyAlignment="1" applyProtection="1">
      <alignment horizontal="center" wrapText="1" readingOrder="1"/>
      <protection hidden="1"/>
    </xf>
    <xf numFmtId="0" fontId="110" fillId="5" borderId="0" xfId="0" applyFont="1" applyFill="1" applyAlignment="1" applyProtection="1">
      <alignment horizontal="center" wrapText="1" readingOrder="1"/>
      <protection hidden="1"/>
    </xf>
    <xf numFmtId="0" fontId="110" fillId="5" borderId="8" xfId="0" applyFont="1" applyFill="1" applyBorder="1" applyAlignment="1" applyProtection="1">
      <alignment horizontal="center" wrapText="1" readingOrder="1"/>
      <protection hidden="1"/>
    </xf>
    <xf numFmtId="0" fontId="111" fillId="5" borderId="7" xfId="0" applyFont="1" applyFill="1" applyBorder="1" applyAlignment="1" applyProtection="1">
      <alignment horizontal="center" wrapText="1" readingOrder="1"/>
      <protection hidden="1"/>
    </xf>
    <xf numFmtId="0" fontId="111" fillId="5" borderId="0" xfId="0" applyFont="1" applyFill="1" applyAlignment="1" applyProtection="1">
      <alignment horizontal="center" wrapText="1" readingOrder="1"/>
      <protection hidden="1"/>
    </xf>
    <xf numFmtId="0" fontId="111" fillId="5" borderId="8" xfId="0" applyFont="1" applyFill="1" applyBorder="1" applyAlignment="1" applyProtection="1">
      <alignment horizontal="center" wrapText="1" readingOrder="1"/>
      <protection hidden="1"/>
    </xf>
    <xf numFmtId="0" fontId="111" fillId="5" borderId="9" xfId="0" applyFont="1" applyFill="1" applyBorder="1" applyAlignment="1" applyProtection="1">
      <alignment horizontal="center" wrapText="1" readingOrder="1"/>
      <protection hidden="1"/>
    </xf>
    <xf numFmtId="0" fontId="111" fillId="5" borderId="11" xfId="0" applyFont="1" applyFill="1" applyBorder="1" applyAlignment="1" applyProtection="1">
      <alignment horizontal="center" wrapText="1" readingOrder="1"/>
      <protection hidden="1"/>
    </xf>
    <xf numFmtId="0" fontId="111" fillId="5" borderId="10" xfId="0" applyFont="1" applyFill="1" applyBorder="1" applyAlignment="1" applyProtection="1">
      <alignment horizontal="center" wrapText="1" readingOrder="1"/>
      <protection hidden="1"/>
    </xf>
    <xf numFmtId="0" fontId="111" fillId="5" borderId="5" xfId="0" applyFont="1" applyFill="1" applyBorder="1" applyAlignment="1" applyProtection="1">
      <alignment horizontal="center" wrapText="1" readingOrder="1"/>
      <protection hidden="1"/>
    </xf>
    <xf numFmtId="0" fontId="111" fillId="5" borderId="12" xfId="0" applyFont="1" applyFill="1" applyBorder="1" applyAlignment="1" applyProtection="1">
      <alignment horizontal="center" wrapText="1" readingOrder="1"/>
      <protection hidden="1"/>
    </xf>
    <xf numFmtId="0" fontId="111" fillId="5" borderId="6" xfId="0" applyFont="1" applyFill="1" applyBorder="1" applyAlignment="1" applyProtection="1">
      <alignment horizontal="center" wrapText="1" readingOrder="1"/>
      <protection hidden="1"/>
    </xf>
    <xf numFmtId="0" fontId="23" fillId="0" borderId="0" xfId="0" applyFont="1" applyAlignment="1">
      <alignment horizontal="center" vertical="center" wrapText="1"/>
    </xf>
    <xf numFmtId="0" fontId="110" fillId="5" borderId="7" xfId="0" applyFont="1" applyFill="1" applyBorder="1" applyAlignment="1" applyProtection="1">
      <alignment horizontal="center" wrapText="1" readingOrder="1"/>
      <protection hidden="1"/>
    </xf>
    <xf numFmtId="0" fontId="110" fillId="5" borderId="11" xfId="0" applyFont="1" applyFill="1" applyBorder="1" applyAlignment="1" applyProtection="1">
      <alignment horizontal="center" wrapText="1" readingOrder="1"/>
      <protection hidden="1"/>
    </xf>
    <xf numFmtId="0" fontId="110" fillId="5" borderId="10" xfId="0" applyFont="1" applyFill="1" applyBorder="1" applyAlignment="1" applyProtection="1">
      <alignment horizontal="center" wrapText="1" readingOrder="1"/>
      <protection hidden="1"/>
    </xf>
    <xf numFmtId="0" fontId="110" fillId="5" borderId="5" xfId="0" applyFont="1" applyFill="1" applyBorder="1" applyAlignment="1" applyProtection="1">
      <alignment horizontal="center" wrapText="1" readingOrder="1"/>
      <protection hidden="1"/>
    </xf>
    <xf numFmtId="0" fontId="110" fillId="5" borderId="12" xfId="0" applyFont="1" applyFill="1" applyBorder="1" applyAlignment="1" applyProtection="1">
      <alignment horizontal="center" wrapText="1" readingOrder="1"/>
      <protection hidden="1"/>
    </xf>
    <xf numFmtId="0" fontId="110" fillId="5" borderId="6" xfId="0" applyFont="1" applyFill="1" applyBorder="1" applyAlignment="1" applyProtection="1">
      <alignment horizontal="center" wrapText="1" readingOrder="1"/>
      <protection hidden="1"/>
    </xf>
    <xf numFmtId="0" fontId="110" fillId="5" borderId="9" xfId="0" applyFont="1" applyFill="1" applyBorder="1" applyAlignment="1" applyProtection="1">
      <alignment horizontal="center" wrapText="1" readingOrder="1"/>
      <protection hidden="1"/>
    </xf>
    <xf numFmtId="0" fontId="40" fillId="0" borderId="5" xfId="0" applyFont="1" applyBorder="1" applyAlignment="1">
      <alignment horizontal="center" vertical="center" wrapText="1"/>
    </xf>
    <xf numFmtId="0" fontId="40" fillId="0" borderId="12" xfId="0" applyFont="1" applyBorder="1" applyAlignment="1">
      <alignment horizontal="center" vertical="center"/>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0" xfId="0" applyFont="1" applyAlignment="1">
      <alignment horizontal="center" vertical="center"/>
    </xf>
    <xf numFmtId="0" fontId="40" fillId="0" borderId="8" xfId="0" applyFont="1" applyBorder="1" applyAlignment="1">
      <alignment horizontal="center" vertical="center"/>
    </xf>
    <xf numFmtId="0" fontId="40" fillId="0" borderId="9" xfId="0" applyFont="1" applyBorder="1" applyAlignment="1">
      <alignment horizontal="center"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39" fillId="11" borderId="13" xfId="0" applyFont="1" applyFill="1" applyBorder="1" applyAlignment="1">
      <alignment horizontal="center" vertical="center" wrapText="1" readingOrder="1"/>
    </xf>
    <xf numFmtId="0" fontId="39" fillId="11" borderId="14" xfId="0" applyFont="1" applyFill="1" applyBorder="1" applyAlignment="1">
      <alignment horizontal="center" vertical="center" wrapText="1" readingOrder="1"/>
    </xf>
    <xf numFmtId="0" fontId="39" fillId="11" borderId="15" xfId="0" applyFont="1" applyFill="1" applyBorder="1" applyAlignment="1">
      <alignment horizontal="center" vertical="center" wrapText="1" readingOrder="1"/>
    </xf>
    <xf numFmtId="0" fontId="39" fillId="11" borderId="16" xfId="0" applyFont="1" applyFill="1" applyBorder="1" applyAlignment="1">
      <alignment horizontal="center" vertical="center" wrapText="1" readingOrder="1"/>
    </xf>
    <xf numFmtId="0" fontId="39" fillId="11" borderId="0" xfId="0" applyFont="1" applyFill="1" applyAlignment="1">
      <alignment horizontal="center" vertical="center" wrapText="1" readingOrder="1"/>
    </xf>
    <xf numFmtId="0" fontId="39" fillId="11" borderId="17" xfId="0" applyFont="1" applyFill="1" applyBorder="1" applyAlignment="1">
      <alignment horizontal="center" vertical="center" wrapText="1" readingOrder="1"/>
    </xf>
    <xf numFmtId="0" fontId="39" fillId="11" borderId="18" xfId="0" applyFont="1" applyFill="1" applyBorder="1" applyAlignment="1">
      <alignment horizontal="center" vertical="center" wrapText="1" readingOrder="1"/>
    </xf>
    <xf numFmtId="0" fontId="39" fillId="11" borderId="19" xfId="0" applyFont="1" applyFill="1" applyBorder="1" applyAlignment="1">
      <alignment horizontal="center" vertical="center" wrapText="1" readingOrder="1"/>
    </xf>
    <xf numFmtId="0" fontId="39" fillId="11" borderId="20" xfId="0" applyFont="1" applyFill="1" applyBorder="1" applyAlignment="1">
      <alignment horizontal="center" vertical="center" wrapText="1" readingOrder="1"/>
    </xf>
    <xf numFmtId="0" fontId="40" fillId="0" borderId="7" xfId="0" applyFont="1" applyBorder="1" applyAlignment="1">
      <alignment horizontal="center" vertical="center" wrapText="1"/>
    </xf>
    <xf numFmtId="0" fontId="39" fillId="12" borderId="13" xfId="0" applyFont="1" applyFill="1" applyBorder="1" applyAlignment="1">
      <alignment horizontal="center" vertical="center" wrapText="1" readingOrder="1"/>
    </xf>
    <xf numFmtId="0" fontId="39" fillId="12" borderId="14" xfId="0" applyFont="1" applyFill="1" applyBorder="1" applyAlignment="1">
      <alignment horizontal="center" vertical="center" wrapText="1" readingOrder="1"/>
    </xf>
    <xf numFmtId="0" fontId="39" fillId="12" borderId="15" xfId="0" applyFont="1" applyFill="1" applyBorder="1" applyAlignment="1">
      <alignment horizontal="center" vertical="center" wrapText="1" readingOrder="1"/>
    </xf>
    <xf numFmtId="0" fontId="39" fillId="12" borderId="16" xfId="0" applyFont="1" applyFill="1" applyBorder="1" applyAlignment="1">
      <alignment horizontal="center" vertical="center" wrapText="1" readingOrder="1"/>
    </xf>
    <xf numFmtId="0" fontId="39" fillId="12" borderId="0" xfId="0" applyFont="1" applyFill="1" applyAlignment="1">
      <alignment horizontal="center" vertical="center" wrapText="1" readingOrder="1"/>
    </xf>
    <xf numFmtId="0" fontId="39" fillId="12" borderId="17" xfId="0" applyFont="1" applyFill="1" applyBorder="1" applyAlignment="1">
      <alignment horizontal="center" vertical="center" wrapText="1" readingOrder="1"/>
    </xf>
    <xf numFmtId="0" fontId="39" fillId="12" borderId="18" xfId="0" applyFont="1" applyFill="1" applyBorder="1" applyAlignment="1">
      <alignment horizontal="center" vertical="center" wrapText="1" readingOrder="1"/>
    </xf>
    <xf numFmtId="0" fontId="39" fillId="12" borderId="19" xfId="0" applyFont="1" applyFill="1" applyBorder="1" applyAlignment="1">
      <alignment horizontal="center" vertical="center" wrapText="1" readingOrder="1"/>
    </xf>
    <xf numFmtId="0" fontId="39" fillId="12" borderId="20" xfId="0" applyFont="1" applyFill="1" applyBorder="1" applyAlignment="1">
      <alignment horizontal="center" vertical="center" wrapText="1" readingOrder="1"/>
    </xf>
    <xf numFmtId="0" fontId="38" fillId="0" borderId="0" xfId="0" applyFont="1" applyAlignment="1">
      <alignment horizontal="center" vertical="center" wrapText="1"/>
    </xf>
    <xf numFmtId="0" fontId="20" fillId="0" borderId="0" xfId="0" applyFont="1" applyAlignment="1">
      <alignment horizontal="center" vertical="center" wrapText="1"/>
    </xf>
    <xf numFmtId="0" fontId="17" fillId="10" borderId="0" xfId="0" applyFont="1" applyFill="1" applyAlignment="1">
      <alignment horizontal="center" vertical="center" wrapText="1" readingOrder="1"/>
    </xf>
    <xf numFmtId="0" fontId="39" fillId="5" borderId="13" xfId="0" applyFont="1" applyFill="1" applyBorder="1" applyAlignment="1">
      <alignment horizontal="center" vertical="center" wrapText="1" readingOrder="1"/>
    </xf>
    <xf numFmtId="0" fontId="39" fillId="5" borderId="14" xfId="0" applyFont="1" applyFill="1" applyBorder="1" applyAlignment="1">
      <alignment horizontal="center" vertical="center" wrapText="1" readingOrder="1"/>
    </xf>
    <xf numFmtId="0" fontId="39" fillId="5" borderId="15" xfId="0" applyFont="1" applyFill="1" applyBorder="1" applyAlignment="1">
      <alignment horizontal="center" vertical="center" wrapText="1" readingOrder="1"/>
    </xf>
    <xf numFmtId="0" fontId="39" fillId="5" borderId="16" xfId="0" applyFont="1" applyFill="1" applyBorder="1" applyAlignment="1">
      <alignment horizontal="center" vertical="center" wrapText="1" readingOrder="1"/>
    </xf>
    <xf numFmtId="0" fontId="39" fillId="5" borderId="0" xfId="0" applyFont="1" applyFill="1" applyAlignment="1">
      <alignment horizontal="center" vertical="center" wrapText="1" readingOrder="1"/>
    </xf>
    <xf numFmtId="0" fontId="39" fillId="5" borderId="17" xfId="0" applyFont="1" applyFill="1" applyBorder="1" applyAlignment="1">
      <alignment horizontal="center" vertical="center" wrapText="1" readingOrder="1"/>
    </xf>
    <xf numFmtId="0" fontId="39" fillId="5" borderId="18" xfId="0" applyFont="1" applyFill="1" applyBorder="1" applyAlignment="1">
      <alignment horizontal="center" vertical="center" wrapText="1" readingOrder="1"/>
    </xf>
    <xf numFmtId="0" fontId="39" fillId="5" borderId="19" xfId="0" applyFont="1" applyFill="1" applyBorder="1" applyAlignment="1">
      <alignment horizontal="center" vertical="center" wrapText="1" readingOrder="1"/>
    </xf>
    <xf numFmtId="0" fontId="39" fillId="5" borderId="20" xfId="0" applyFont="1" applyFill="1" applyBorder="1" applyAlignment="1">
      <alignment horizontal="center" vertical="center" wrapText="1" readingOrder="1"/>
    </xf>
    <xf numFmtId="0" fontId="39" fillId="13" borderId="13" xfId="0" applyFont="1" applyFill="1" applyBorder="1" applyAlignment="1">
      <alignment horizontal="center" vertical="center" wrapText="1" readingOrder="1"/>
    </xf>
    <xf numFmtId="0" fontId="39" fillId="13" borderId="14" xfId="0" applyFont="1" applyFill="1" applyBorder="1" applyAlignment="1">
      <alignment horizontal="center" vertical="center" wrapText="1" readingOrder="1"/>
    </xf>
    <xf numFmtId="0" fontId="39" fillId="13" borderId="15" xfId="0" applyFont="1" applyFill="1" applyBorder="1" applyAlignment="1">
      <alignment horizontal="center" vertical="center" wrapText="1" readingOrder="1"/>
    </xf>
    <xf numFmtId="0" fontId="39" fillId="13" borderId="16" xfId="0" applyFont="1" applyFill="1" applyBorder="1" applyAlignment="1">
      <alignment horizontal="center" vertical="center" wrapText="1" readingOrder="1"/>
    </xf>
    <xf numFmtId="0" fontId="39" fillId="13" borderId="0" xfId="0" applyFont="1" applyFill="1" applyAlignment="1">
      <alignment horizontal="center" vertical="center" wrapText="1" readingOrder="1"/>
    </xf>
    <xf numFmtId="0" fontId="39" fillId="13" borderId="17" xfId="0" applyFont="1" applyFill="1" applyBorder="1" applyAlignment="1">
      <alignment horizontal="center" vertical="center" wrapText="1" readingOrder="1"/>
    </xf>
    <xf numFmtId="0" fontId="39" fillId="13" borderId="18" xfId="0" applyFont="1" applyFill="1" applyBorder="1" applyAlignment="1">
      <alignment horizontal="center" vertical="center" wrapText="1" readingOrder="1"/>
    </xf>
    <xf numFmtId="0" fontId="39" fillId="13" borderId="19" xfId="0" applyFont="1" applyFill="1" applyBorder="1" applyAlignment="1">
      <alignment horizontal="center" vertical="center" wrapText="1" readingOrder="1"/>
    </xf>
    <xf numFmtId="0" fontId="39" fillId="13" borderId="20" xfId="0" applyFont="1" applyFill="1" applyBorder="1" applyAlignment="1">
      <alignment horizontal="center" vertical="center" wrapText="1" readingOrder="1"/>
    </xf>
    <xf numFmtId="0" fontId="62" fillId="0" borderId="0" xfId="0" applyFont="1" applyAlignment="1">
      <alignment horizontal="center"/>
    </xf>
    <xf numFmtId="0" fontId="40" fillId="0" borderId="12" xfId="0" applyFont="1" applyBorder="1" applyAlignment="1">
      <alignment horizontal="center" vertical="center" wrapText="1"/>
    </xf>
    <xf numFmtId="0" fontId="63" fillId="0" borderId="71" xfId="0" applyFont="1" applyBorder="1" applyAlignment="1">
      <alignment horizontal="center" wrapText="1"/>
    </xf>
    <xf numFmtId="0" fontId="67" fillId="0" borderId="74" xfId="0" applyFont="1" applyBorder="1" applyAlignment="1">
      <alignment horizontal="center" wrapText="1"/>
    </xf>
    <xf numFmtId="0" fontId="67" fillId="0" borderId="77" xfId="0" applyFont="1" applyBorder="1" applyAlignment="1">
      <alignment horizontal="center" wrapText="1"/>
    </xf>
    <xf numFmtId="0" fontId="65" fillId="0" borderId="72" xfId="0" applyFont="1" applyBorder="1" applyAlignment="1">
      <alignment horizontal="center" vertical="center" wrapText="1"/>
    </xf>
    <xf numFmtId="0" fontId="65" fillId="0" borderId="73" xfId="0" applyFont="1" applyBorder="1" applyAlignment="1">
      <alignment horizontal="center" vertical="center" wrapText="1"/>
    </xf>
    <xf numFmtId="0" fontId="65" fillId="0" borderId="78" xfId="0" applyFont="1" applyBorder="1" applyAlignment="1">
      <alignment horizontal="center" vertical="center" wrapText="1"/>
    </xf>
    <xf numFmtId="0" fontId="65" fillId="0" borderId="79" xfId="0" applyFont="1" applyBorder="1" applyAlignment="1">
      <alignment horizontal="center" vertical="center" wrapText="1"/>
    </xf>
    <xf numFmtId="0" fontId="77" fillId="17" borderId="93" xfId="0" applyFont="1" applyFill="1" applyBorder="1" applyAlignment="1">
      <alignment horizontal="center" vertical="center" textRotation="90"/>
    </xf>
    <xf numFmtId="0" fontId="52" fillId="3" borderId="52" xfId="2" applyFont="1" applyFill="1" applyBorder="1" applyAlignment="1">
      <alignment horizontal="justify" vertical="center" wrapText="1"/>
    </xf>
    <xf numFmtId="0" fontId="52" fillId="3" borderId="53" xfId="2" applyFont="1" applyFill="1" applyBorder="1" applyAlignment="1">
      <alignment horizontal="justify" vertical="center" wrapText="1"/>
    </xf>
    <xf numFmtId="0" fontId="51" fillId="3" borderId="59" xfId="0" applyFont="1" applyFill="1" applyBorder="1" applyAlignment="1">
      <alignment horizontal="left" vertical="center" wrapText="1"/>
    </xf>
    <xf numFmtId="0" fontId="51" fillId="3" borderId="60" xfId="0" applyFont="1" applyFill="1" applyBorder="1" applyAlignment="1">
      <alignment horizontal="left" vertical="center" wrapText="1"/>
    </xf>
    <xf numFmtId="0" fontId="51" fillId="3" borderId="46" xfId="3" applyFont="1" applyFill="1" applyBorder="1" applyAlignment="1">
      <alignment horizontal="left" vertical="top" wrapText="1" readingOrder="1"/>
    </xf>
    <xf numFmtId="0" fontId="51" fillId="3" borderId="47" xfId="3" applyFont="1" applyFill="1" applyBorder="1" applyAlignment="1">
      <alignment horizontal="left" vertical="top" wrapText="1" readingOrder="1"/>
    </xf>
    <xf numFmtId="0" fontId="52" fillId="3" borderId="48" xfId="2" applyFont="1" applyFill="1" applyBorder="1" applyAlignment="1">
      <alignment horizontal="justify" vertical="center" wrapText="1"/>
    </xf>
    <xf numFmtId="0" fontId="52" fillId="3" borderId="49" xfId="2" applyFont="1" applyFill="1" applyBorder="1" applyAlignment="1">
      <alignment horizontal="justify" vertical="center" wrapText="1"/>
    </xf>
    <xf numFmtId="0" fontId="51" fillId="3" borderId="50" xfId="0" applyFont="1" applyFill="1" applyBorder="1" applyAlignment="1">
      <alignment horizontal="left" vertical="center" wrapText="1"/>
    </xf>
    <xf numFmtId="0" fontId="51" fillId="3" borderId="51" xfId="0" applyFont="1" applyFill="1" applyBorder="1" applyAlignment="1">
      <alignment horizontal="left" vertical="center" wrapText="1"/>
    </xf>
    <xf numFmtId="0" fontId="46" fillId="3" borderId="7" xfId="2" applyFont="1" applyFill="1" applyBorder="1" applyAlignment="1">
      <alignment horizontal="left" vertical="top" wrapText="1"/>
    </xf>
    <xf numFmtId="0" fontId="46" fillId="3" borderId="0" xfId="2" applyFont="1" applyFill="1" applyAlignment="1">
      <alignment horizontal="left" vertical="top" wrapText="1"/>
    </xf>
    <xf numFmtId="0" fontId="46" fillId="3" borderId="8" xfId="2" applyFont="1" applyFill="1" applyBorder="1" applyAlignment="1">
      <alignment horizontal="left" vertical="top" wrapText="1"/>
    </xf>
    <xf numFmtId="0" fontId="51" fillId="3" borderId="61" xfId="0" applyFont="1" applyFill="1" applyBorder="1" applyAlignment="1">
      <alignment horizontal="left" vertical="center" wrapText="1"/>
    </xf>
    <xf numFmtId="0" fontId="51" fillId="3" borderId="62" xfId="0" applyFont="1" applyFill="1" applyBorder="1" applyAlignment="1">
      <alignment horizontal="left" vertical="center" wrapText="1"/>
    </xf>
    <xf numFmtId="0" fontId="52" fillId="3" borderId="54" xfId="0" applyFont="1" applyFill="1" applyBorder="1" applyAlignment="1">
      <alignment horizontal="justify" vertical="center" wrapText="1"/>
    </xf>
    <xf numFmtId="0" fontId="52" fillId="3" borderId="55" xfId="0" applyFont="1" applyFill="1" applyBorder="1" applyAlignment="1">
      <alignment horizontal="justify" vertical="center" wrapText="1"/>
    </xf>
    <xf numFmtId="0" fontId="47" fillId="14" borderId="36" xfId="2" applyFont="1" applyFill="1" applyBorder="1" applyAlignment="1">
      <alignment horizontal="center" vertical="center" wrapText="1"/>
    </xf>
    <xf numFmtId="0" fontId="47" fillId="14" borderId="37" xfId="2" applyFont="1" applyFill="1" applyBorder="1" applyAlignment="1">
      <alignment horizontal="center" vertical="center" wrapText="1"/>
    </xf>
    <xf numFmtId="0" fontId="47" fillId="14" borderId="38" xfId="2" applyFont="1" applyFill="1" applyBorder="1" applyAlignment="1">
      <alignment horizontal="center" vertical="center" wrapText="1"/>
    </xf>
    <xf numFmtId="0" fontId="46" fillId="0" borderId="7" xfId="2" quotePrefix="1" applyFont="1" applyBorder="1" applyAlignment="1">
      <alignment horizontal="left" vertical="center" wrapText="1"/>
    </xf>
    <xf numFmtId="0" fontId="46" fillId="0" borderId="0" xfId="2" quotePrefix="1" applyFont="1" applyAlignment="1">
      <alignment horizontal="left" vertical="center" wrapText="1"/>
    </xf>
    <xf numFmtId="0" fontId="46" fillId="0" borderId="8" xfId="2" quotePrefix="1" applyFont="1" applyBorder="1" applyAlignment="1">
      <alignment horizontal="left" vertical="center" wrapText="1"/>
    </xf>
    <xf numFmtId="0" fontId="46" fillId="0" borderId="56" xfId="2" quotePrefix="1" applyFont="1" applyBorder="1" applyAlignment="1">
      <alignment horizontal="left" vertical="center" wrapText="1"/>
    </xf>
    <xf numFmtId="0" fontId="46" fillId="0" borderId="57" xfId="2" quotePrefix="1" applyFont="1" applyBorder="1" applyAlignment="1">
      <alignment horizontal="left" vertical="center" wrapText="1"/>
    </xf>
    <xf numFmtId="0" fontId="46" fillId="0" borderId="58" xfId="2" quotePrefix="1" applyFont="1" applyBorder="1" applyAlignment="1">
      <alignment horizontal="left" vertical="center" wrapText="1"/>
    </xf>
    <xf numFmtId="0" fontId="48" fillId="3" borderId="39" xfId="2" quotePrefix="1" applyFont="1" applyFill="1" applyBorder="1" applyAlignment="1">
      <alignment horizontal="left" vertical="top" wrapText="1"/>
    </xf>
    <xf numFmtId="0" fontId="49" fillId="3" borderId="40" xfId="2" quotePrefix="1" applyFont="1" applyFill="1" applyBorder="1" applyAlignment="1">
      <alignment horizontal="left" vertical="top" wrapText="1"/>
    </xf>
    <xf numFmtId="0" fontId="49" fillId="3" borderId="41" xfId="2" quotePrefix="1" applyFont="1" applyFill="1" applyBorder="1" applyAlignment="1">
      <alignment horizontal="left" vertical="top" wrapText="1"/>
    </xf>
    <xf numFmtId="0" fontId="46" fillId="0" borderId="7" xfId="2" quotePrefix="1" applyFont="1" applyBorder="1" applyAlignment="1">
      <alignment horizontal="left" vertical="top" wrapText="1"/>
    </xf>
    <xf numFmtId="0" fontId="46" fillId="0" borderId="0" xfId="2" quotePrefix="1" applyFont="1" applyAlignment="1">
      <alignment horizontal="left" vertical="top" wrapText="1"/>
    </xf>
    <xf numFmtId="0" fontId="46" fillId="0" borderId="8" xfId="2" quotePrefix="1" applyFont="1" applyBorder="1" applyAlignment="1">
      <alignment horizontal="left" vertical="top" wrapText="1"/>
    </xf>
    <xf numFmtId="0" fontId="51" fillId="14" borderId="42" xfId="3" applyFont="1" applyFill="1" applyBorder="1" applyAlignment="1">
      <alignment horizontal="center" vertical="center" wrapText="1"/>
    </xf>
    <xf numFmtId="0" fontId="51" fillId="14" borderId="43" xfId="3" applyFont="1" applyFill="1" applyBorder="1" applyAlignment="1">
      <alignment horizontal="center" vertical="center" wrapText="1"/>
    </xf>
    <xf numFmtId="0" fontId="51" fillId="14" borderId="44" xfId="2" applyFont="1" applyFill="1" applyBorder="1" applyAlignment="1">
      <alignment horizontal="center" vertical="center"/>
    </xf>
    <xf numFmtId="0" fontId="51" fillId="14" borderId="45" xfId="2" applyFont="1" applyFill="1" applyBorder="1" applyAlignment="1">
      <alignment horizontal="center" vertical="center"/>
    </xf>
    <xf numFmtId="0" fontId="2" fillId="3" borderId="56" xfId="2" quotePrefix="1" applyFont="1" applyFill="1" applyBorder="1" applyAlignment="1">
      <alignment horizontal="justify" vertical="center" wrapText="1"/>
    </xf>
    <xf numFmtId="0" fontId="2" fillId="3" borderId="57" xfId="2" quotePrefix="1" applyFont="1" applyFill="1" applyBorder="1" applyAlignment="1">
      <alignment horizontal="justify" vertical="center" wrapText="1"/>
    </xf>
    <xf numFmtId="0" fontId="2" fillId="3" borderId="58" xfId="2" quotePrefix="1" applyFont="1" applyFill="1" applyBorder="1" applyAlignment="1">
      <alignment horizontal="justify" vertical="center" wrapText="1"/>
    </xf>
    <xf numFmtId="0" fontId="66" fillId="0" borderId="33" xfId="0" applyFont="1" applyBorder="1" applyAlignment="1">
      <alignment horizontal="left" vertical="center" wrapText="1"/>
    </xf>
    <xf numFmtId="0" fontId="66" fillId="0" borderId="34" xfId="0" applyFont="1" applyBorder="1" applyAlignment="1">
      <alignment horizontal="left" vertical="center" wrapText="1"/>
    </xf>
    <xf numFmtId="165" fontId="66" fillId="0" borderId="23" xfId="0" applyNumberFormat="1" applyFont="1" applyBorder="1" applyAlignment="1">
      <alignment horizontal="center" vertical="center"/>
    </xf>
    <xf numFmtId="165" fontId="66" fillId="0" borderId="35" xfId="0" applyNumberFormat="1" applyFont="1" applyBorder="1" applyAlignment="1">
      <alignment horizontal="center" vertical="center"/>
    </xf>
    <xf numFmtId="0" fontId="66" fillId="0" borderId="87" xfId="0" applyFont="1" applyBorder="1" applyAlignment="1">
      <alignment horizontal="center" vertical="center" wrapText="1"/>
    </xf>
    <xf numFmtId="0" fontId="66" fillId="0" borderId="33" xfId="0" applyFont="1" applyBorder="1" applyAlignment="1">
      <alignment horizontal="center" vertical="center" wrapText="1"/>
    </xf>
    <xf numFmtId="0" fontId="76" fillId="0" borderId="0" xfId="0" applyFont="1" applyAlignment="1">
      <alignment horizontal="left" wrapText="1"/>
    </xf>
    <xf numFmtId="0" fontId="74" fillId="0" borderId="7" xfId="0" applyFont="1" applyBorder="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0" borderId="8"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0" xfId="0" applyFont="1" applyBorder="1" applyAlignment="1">
      <alignment horizontal="center" vertical="center" wrapText="1"/>
    </xf>
    <xf numFmtId="0" fontId="66" fillId="0" borderId="11" xfId="0" applyFont="1" applyBorder="1" applyAlignment="1">
      <alignment horizontal="center"/>
    </xf>
    <xf numFmtId="0" fontId="67" fillId="0" borderId="23" xfId="0" applyFont="1" applyBorder="1" applyAlignment="1">
      <alignment horizontal="center" vertical="center" wrapText="1"/>
    </xf>
    <xf numFmtId="0" fontId="67" fillId="0" borderId="24" xfId="0" applyFont="1" applyBorder="1" applyAlignment="1">
      <alignment horizontal="center" vertical="center" wrapText="1"/>
    </xf>
    <xf numFmtId="0" fontId="67" fillId="0" borderId="35" xfId="0" applyFont="1" applyBorder="1" applyAlignment="1">
      <alignment horizontal="center" vertical="center" wrapText="1"/>
    </xf>
    <xf numFmtId="0" fontId="72" fillId="0" borderId="0" xfId="0" applyFont="1" applyAlignment="1">
      <alignment horizontal="center" vertical="center"/>
    </xf>
    <xf numFmtId="0" fontId="73" fillId="16" borderId="88" xfId="0" applyFont="1" applyFill="1" applyBorder="1" applyAlignment="1">
      <alignment horizontal="center" vertical="center" wrapText="1"/>
    </xf>
    <xf numFmtId="0" fontId="73" fillId="16" borderId="89" xfId="0" applyFont="1" applyFill="1" applyBorder="1" applyAlignment="1">
      <alignment horizontal="center" vertical="center" wrapText="1"/>
    </xf>
    <xf numFmtId="0" fontId="73" fillId="16" borderId="90" xfId="0" applyFont="1" applyFill="1" applyBorder="1" applyAlignment="1">
      <alignment horizontal="center" vertical="center" wrapText="1"/>
    </xf>
    <xf numFmtId="0" fontId="73" fillId="16" borderId="5" xfId="0" applyFont="1" applyFill="1" applyBorder="1" applyAlignment="1">
      <alignment horizontal="center" vertical="center" wrapText="1"/>
    </xf>
    <xf numFmtId="0" fontId="73" fillId="16" borderId="12" xfId="0" applyFont="1" applyFill="1" applyBorder="1" applyAlignment="1">
      <alignment horizontal="center" vertical="center" wrapText="1"/>
    </xf>
    <xf numFmtId="0" fontId="73" fillId="16" borderId="6" xfId="0" applyFont="1" applyFill="1" applyBorder="1" applyAlignment="1">
      <alignment horizontal="center" vertical="center" wrapText="1"/>
    </xf>
    <xf numFmtId="0" fontId="73" fillId="16" borderId="81" xfId="0" applyFont="1" applyFill="1" applyBorder="1" applyAlignment="1">
      <alignment horizontal="center" vertical="center" wrapText="1"/>
    </xf>
    <xf numFmtId="0" fontId="73" fillId="16" borderId="82" xfId="0" applyFont="1" applyFill="1" applyBorder="1" applyAlignment="1">
      <alignment horizontal="center" vertical="center" wrapText="1"/>
    </xf>
    <xf numFmtId="0" fontId="74" fillId="0" borderId="5" xfId="0" applyFont="1" applyBorder="1" applyAlignment="1">
      <alignment horizontal="center" vertical="center" wrapText="1"/>
    </xf>
    <xf numFmtId="0" fontId="74" fillId="0" borderId="12" xfId="0" applyFont="1" applyBorder="1" applyAlignment="1">
      <alignment horizontal="center" vertical="center" wrapText="1"/>
    </xf>
    <xf numFmtId="0" fontId="66" fillId="0" borderId="12" xfId="0" applyFont="1" applyBorder="1" applyAlignment="1">
      <alignment horizontal="center"/>
    </xf>
    <xf numFmtId="0" fontId="66" fillId="0" borderId="6" xfId="0" applyFont="1" applyBorder="1" applyAlignment="1">
      <alignment horizontal="center"/>
    </xf>
    <xf numFmtId="0" fontId="71" fillId="16" borderId="32" xfId="0" applyFont="1" applyFill="1" applyBorder="1" applyAlignment="1">
      <alignment horizontal="center" vertical="center" wrapText="1"/>
    </xf>
    <xf numFmtId="0" fontId="71" fillId="16" borderId="33" xfId="0" applyFont="1" applyFill="1" applyBorder="1" applyAlignment="1">
      <alignment horizontal="center" vertical="center" wrapText="1"/>
    </xf>
    <xf numFmtId="0" fontId="71" fillId="16" borderId="86" xfId="0" applyFont="1" applyFill="1" applyBorder="1" applyAlignment="1">
      <alignment horizontal="center" vertical="center" wrapText="1"/>
    </xf>
    <xf numFmtId="0" fontId="71" fillId="16" borderId="87" xfId="0" applyFont="1" applyFill="1" applyBorder="1" applyAlignment="1">
      <alignment horizontal="center" vertical="center" wrapText="1"/>
    </xf>
    <xf numFmtId="0" fontId="71" fillId="16" borderId="24" xfId="0" applyFont="1" applyFill="1" applyBorder="1" applyAlignment="1">
      <alignment horizontal="center" vertical="center" wrapText="1"/>
    </xf>
    <xf numFmtId="0" fontId="71" fillId="16" borderId="35" xfId="0" applyFont="1" applyFill="1" applyBorder="1" applyAlignment="1">
      <alignment horizontal="center" vertical="center" wrapText="1"/>
    </xf>
    <xf numFmtId="0" fontId="68" fillId="0" borderId="71" xfId="0" applyFont="1" applyBorder="1" applyAlignment="1">
      <alignment horizontal="center" wrapText="1"/>
    </xf>
    <xf numFmtId="0" fontId="70" fillId="0" borderId="5"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0" xfId="0" applyFont="1" applyAlignment="1">
      <alignment horizontal="center" vertical="center" wrapText="1"/>
    </xf>
    <xf numFmtId="0" fontId="70" fillId="0" borderId="9" xfId="0" applyFont="1" applyBorder="1" applyAlignment="1">
      <alignment horizontal="center" vertical="center" wrapText="1"/>
    </xf>
    <xf numFmtId="0" fontId="70" fillId="0" borderId="11" xfId="0" applyFont="1" applyBorder="1" applyAlignment="1">
      <alignment horizontal="center" vertical="center" wrapText="1"/>
    </xf>
    <xf numFmtId="0" fontId="22" fillId="0" borderId="0" xfId="0" applyFont="1" applyAlignment="1">
      <alignment horizontal="center" vertical="center"/>
    </xf>
    <xf numFmtId="0" fontId="42" fillId="0" borderId="0" xfId="0" applyFont="1" applyAlignment="1">
      <alignment horizontal="center" vertical="center"/>
    </xf>
    <xf numFmtId="0" fontId="37" fillId="15" borderId="23" xfId="0" applyFont="1" applyFill="1" applyBorder="1" applyAlignment="1">
      <alignment horizontal="center" vertical="center" wrapText="1" readingOrder="1"/>
    </xf>
    <xf numFmtId="0" fontId="37" fillId="15" borderId="24" xfId="0" applyFont="1" applyFill="1" applyBorder="1" applyAlignment="1">
      <alignment horizontal="center" vertical="center" wrapText="1" readingOrder="1"/>
    </xf>
    <xf numFmtId="0" fontId="37" fillId="15" borderId="35" xfId="0" applyFont="1" applyFill="1" applyBorder="1" applyAlignment="1">
      <alignment horizontal="center" vertical="center" wrapText="1" readingOrder="1"/>
    </xf>
    <xf numFmtId="0" fontId="32" fillId="3" borderId="0" xfId="0" applyFont="1" applyFill="1" applyAlignment="1">
      <alignment horizontal="justify" vertical="center" wrapText="1"/>
    </xf>
    <xf numFmtId="0" fontId="34" fillId="15" borderId="32" xfId="0" applyFont="1" applyFill="1" applyBorder="1" applyAlignment="1">
      <alignment horizontal="center" vertical="center" wrapText="1" readingOrder="1"/>
    </xf>
    <xf numFmtId="0" fontId="34" fillId="15" borderId="33" xfId="0" applyFont="1" applyFill="1" applyBorder="1" applyAlignment="1">
      <alignment horizontal="center" vertical="center" wrapText="1" readingOrder="1"/>
    </xf>
    <xf numFmtId="0" fontId="34" fillId="3" borderId="30" xfId="0" applyFont="1" applyFill="1" applyBorder="1" applyAlignment="1">
      <alignment horizontal="center" vertical="center" wrapText="1" readingOrder="1"/>
    </xf>
    <xf numFmtId="0" fontId="34" fillId="3" borderId="25" xfId="0" applyFont="1" applyFill="1" applyBorder="1" applyAlignment="1">
      <alignment horizontal="center" vertical="center" wrapText="1" readingOrder="1"/>
    </xf>
    <xf numFmtId="0" fontId="34" fillId="3" borderId="22" xfId="0" applyFont="1" applyFill="1" applyBorder="1" applyAlignment="1">
      <alignment horizontal="center" vertical="center" wrapText="1" readingOrder="1"/>
    </xf>
    <xf numFmtId="0" fontId="34" fillId="3" borderId="21" xfId="0" applyFont="1" applyFill="1" applyBorder="1" applyAlignment="1">
      <alignment horizontal="center" vertical="center" wrapText="1" readingOrder="1"/>
    </xf>
    <xf numFmtId="0" fontId="34" fillId="3" borderId="27" xfId="0" applyFont="1" applyFill="1" applyBorder="1" applyAlignment="1">
      <alignment horizontal="center" vertical="center" wrapText="1" readingOrder="1"/>
    </xf>
    <xf numFmtId="0" fontId="34" fillId="3" borderId="28" xfId="0" applyFont="1" applyFill="1" applyBorder="1" applyAlignment="1">
      <alignment horizontal="center" vertical="center" wrapText="1" readingOrder="1"/>
    </xf>
    <xf numFmtId="14" fontId="66" fillId="3" borderId="21" xfId="0" applyNumberFormat="1" applyFont="1" applyFill="1" applyBorder="1" applyAlignment="1">
      <alignment horizontal="center" vertical="center" wrapText="1"/>
    </xf>
    <xf numFmtId="14" fontId="66" fillId="3" borderId="21" xfId="0" applyNumberFormat="1" applyFont="1" applyFill="1" applyBorder="1" applyAlignment="1">
      <alignment horizontal="left" vertical="center" wrapText="1"/>
    </xf>
    <xf numFmtId="14" fontId="117" fillId="3" borderId="21" xfId="5" applyNumberFormat="1" applyFill="1" applyBorder="1" applyAlignment="1">
      <alignment horizontal="center" vertical="center" wrapText="1"/>
    </xf>
    <xf numFmtId="0" fontId="66" fillId="3" borderId="21" xfId="0" applyFont="1" applyFill="1" applyBorder="1" applyAlignment="1">
      <alignment horizontal="left" vertical="center" wrapText="1"/>
    </xf>
    <xf numFmtId="0" fontId="117" fillId="3" borderId="21" xfId="5" applyFill="1" applyBorder="1" applyAlignment="1">
      <alignment horizontal="center" vertical="center" wrapText="1"/>
    </xf>
    <xf numFmtId="0" fontId="66" fillId="0" borderId="0" xfId="0" applyFont="1" applyAlignment="1">
      <alignment horizontal="left"/>
    </xf>
    <xf numFmtId="0" fontId="92" fillId="0" borderId="57" xfId="0" applyFont="1" applyBorder="1" applyAlignment="1" applyProtection="1">
      <alignment horizontal="left" vertical="center"/>
      <protection locked="0"/>
    </xf>
    <xf numFmtId="0" fontId="87" fillId="3" borderId="40" xfId="0" applyFont="1" applyFill="1" applyBorder="1" applyAlignment="1">
      <alignment horizontal="left" vertical="center"/>
    </xf>
    <xf numFmtId="0" fontId="88" fillId="16" borderId="40" xfId="0" applyFont="1" applyFill="1" applyBorder="1" applyAlignment="1">
      <alignment horizontal="left" vertical="center" wrapText="1"/>
    </xf>
    <xf numFmtId="0" fontId="88" fillId="16" borderId="57" xfId="0" applyFont="1" applyFill="1" applyBorder="1" applyAlignment="1">
      <alignment horizontal="left" vertical="center" wrapText="1"/>
    </xf>
    <xf numFmtId="0" fontId="88" fillId="16" borderId="57" xfId="0" applyFont="1" applyFill="1" applyBorder="1" applyAlignment="1">
      <alignment horizontal="left" vertical="center" wrapText="1"/>
    </xf>
    <xf numFmtId="14" fontId="117" fillId="3" borderId="0" xfId="5" applyNumberFormat="1" applyFill="1" applyAlignment="1">
      <alignment horizontal="center" vertical="center" wrapText="1"/>
    </xf>
    <xf numFmtId="0" fontId="77" fillId="0" borderId="111" xfId="0" applyFont="1" applyBorder="1" applyAlignment="1" applyProtection="1">
      <alignment horizontal="center" vertical="center" textRotation="90" wrapText="1"/>
      <protection hidden="1"/>
    </xf>
    <xf numFmtId="0" fontId="117" fillId="3" borderId="0" xfId="5" applyFill="1" applyAlignment="1">
      <alignment horizontal="center" vertical="center" wrapText="1"/>
    </xf>
    <xf numFmtId="0" fontId="60" fillId="0" borderId="0" xfId="0" applyFont="1" applyAlignment="1">
      <alignment horizontal="left" vertical="center" wrapText="1"/>
    </xf>
    <xf numFmtId="0" fontId="0" fillId="0" borderId="21" xfId="0" applyBorder="1" applyAlignment="1">
      <alignment horizontal="center" vertical="center" wrapText="1"/>
    </xf>
    <xf numFmtId="0" fontId="118" fillId="0" borderId="21" xfId="0" applyFont="1" applyBorder="1" applyAlignment="1">
      <alignment horizontal="center" vertical="center" wrapText="1"/>
    </xf>
    <xf numFmtId="0" fontId="118" fillId="0" borderId="110" xfId="0" applyFont="1" applyBorder="1" applyAlignment="1">
      <alignment horizontal="center" vertical="center" wrapText="1"/>
    </xf>
    <xf numFmtId="0" fontId="117" fillId="0" borderId="21" xfId="5" applyBorder="1" applyAlignment="1">
      <alignment horizontal="left" vertical="center" wrapText="1"/>
    </xf>
    <xf numFmtId="0" fontId="117" fillId="0" borderId="21" xfId="5" applyBorder="1" applyAlignment="1">
      <alignment horizontal="center" vertical="center" wrapText="1"/>
    </xf>
    <xf numFmtId="0" fontId="117" fillId="3" borderId="109" xfId="5" applyFill="1" applyBorder="1" applyAlignment="1" applyProtection="1">
      <alignment horizontal="center" vertical="center" wrapText="1"/>
      <protection locked="0"/>
    </xf>
    <xf numFmtId="0" fontId="117" fillId="3" borderId="21" xfId="5" applyFill="1" applyBorder="1" applyAlignment="1" applyProtection="1">
      <alignment horizontal="center" vertical="center" wrapText="1"/>
      <protection locked="0"/>
    </xf>
    <xf numFmtId="0" fontId="118" fillId="0" borderId="109" xfId="0" applyFont="1" applyBorder="1" applyAlignment="1">
      <alignment horizontal="center" vertical="center" wrapText="1"/>
    </xf>
    <xf numFmtId="0" fontId="66" fillId="3" borderId="0" xfId="0" applyFont="1" applyFill="1" applyBorder="1" applyAlignment="1">
      <alignment vertical="center" wrapText="1"/>
    </xf>
    <xf numFmtId="0" fontId="66" fillId="3" borderId="117" xfId="0" applyFont="1" applyFill="1" applyBorder="1" applyAlignment="1">
      <alignment horizontal="center" vertical="center" wrapText="1"/>
    </xf>
    <xf numFmtId="0" fontId="66" fillId="3" borderId="110" xfId="0" applyFont="1" applyFill="1" applyBorder="1" applyAlignment="1">
      <alignment horizontal="center" vertical="center" wrapText="1"/>
    </xf>
    <xf numFmtId="0" fontId="66" fillId="3" borderId="110" xfId="0" applyFont="1" applyFill="1" applyBorder="1" applyAlignment="1" applyProtection="1">
      <alignment horizontal="center" vertical="center"/>
      <protection locked="0"/>
    </xf>
    <xf numFmtId="9" fontId="66" fillId="3" borderId="110" xfId="0" applyNumberFormat="1" applyFont="1" applyFill="1" applyBorder="1" applyAlignment="1" applyProtection="1">
      <alignment vertical="center" wrapText="1"/>
      <protection hidden="1"/>
    </xf>
    <xf numFmtId="0" fontId="77" fillId="3" borderId="110" xfId="0" applyFont="1" applyFill="1" applyBorder="1" applyAlignment="1" applyProtection="1">
      <alignment vertical="center" wrapText="1"/>
      <protection hidden="1"/>
    </xf>
    <xf numFmtId="0" fontId="95" fillId="3" borderId="110" xfId="0" applyFont="1" applyFill="1" applyBorder="1" applyAlignment="1" applyProtection="1">
      <alignment horizontal="center" vertical="center" wrapText="1"/>
      <protection locked="0"/>
    </xf>
    <xf numFmtId="0" fontId="72" fillId="3" borderId="110" xfId="0" applyFont="1" applyFill="1" applyBorder="1" applyAlignment="1" applyProtection="1">
      <alignment horizontal="center" vertical="center" wrapText="1"/>
      <protection locked="0"/>
    </xf>
    <xf numFmtId="0" fontId="44" fillId="3" borderId="110" xfId="0" applyFont="1" applyFill="1" applyBorder="1" applyAlignment="1" applyProtection="1">
      <alignment horizontal="center" vertical="center" wrapText="1"/>
      <protection locked="0"/>
    </xf>
    <xf numFmtId="0" fontId="117" fillId="3" borderId="110" xfId="5" applyFill="1" applyBorder="1" applyAlignment="1" applyProtection="1">
      <alignment horizontal="center" vertical="center" wrapText="1"/>
      <protection locked="0"/>
    </xf>
    <xf numFmtId="0" fontId="66" fillId="3" borderId="118" xfId="0" applyFont="1" applyFill="1" applyBorder="1" applyAlignment="1" applyProtection="1">
      <alignment horizontal="center" vertical="center" wrapText="1"/>
      <protection locked="0"/>
    </xf>
    <xf numFmtId="0" fontId="95" fillId="3" borderId="30" xfId="0" applyFont="1" applyFill="1" applyBorder="1" applyAlignment="1">
      <alignment horizontal="center" vertical="center" wrapText="1"/>
    </xf>
    <xf numFmtId="0" fontId="95" fillId="3" borderId="22" xfId="0" applyFont="1" applyFill="1" applyBorder="1" applyAlignment="1">
      <alignment horizontal="center" vertical="center" wrapText="1"/>
    </xf>
    <xf numFmtId="0" fontId="95" fillId="3" borderId="64" xfId="0" applyFont="1" applyFill="1" applyBorder="1" applyAlignment="1">
      <alignment horizontal="center" vertical="center" wrapText="1"/>
    </xf>
    <xf numFmtId="0" fontId="113" fillId="3" borderId="21" xfId="0" applyFont="1" applyFill="1" applyBorder="1" applyAlignment="1" applyProtection="1">
      <alignment horizontal="left" vertical="center" wrapText="1"/>
      <protection locked="0"/>
    </xf>
    <xf numFmtId="9" fontId="66" fillId="3" borderId="21" xfId="0" applyNumberFormat="1" applyFont="1" applyFill="1" applyBorder="1" applyAlignment="1" applyProtection="1">
      <alignment vertical="center" wrapText="1"/>
      <protection locked="0"/>
    </xf>
    <xf numFmtId="0" fontId="4" fillId="3" borderId="21" xfId="0" applyFont="1" applyFill="1" applyBorder="1" applyAlignment="1" applyProtection="1">
      <alignment vertical="center" wrapText="1"/>
      <protection hidden="1"/>
    </xf>
    <xf numFmtId="0" fontId="66" fillId="3" borderId="99" xfId="0" applyFont="1" applyFill="1" applyBorder="1" applyAlignment="1">
      <alignment horizontal="center" vertical="center"/>
    </xf>
    <xf numFmtId="0" fontId="66" fillId="3" borderId="109" xfId="0" applyFont="1" applyFill="1" applyBorder="1" applyAlignment="1">
      <alignment horizontal="center" vertical="center"/>
    </xf>
    <xf numFmtId="0" fontId="113" fillId="3" borderId="109" xfId="0" applyFont="1" applyFill="1" applyBorder="1" applyAlignment="1" applyProtection="1">
      <alignment horizontal="left" vertical="center" wrapText="1"/>
      <protection locked="0"/>
    </xf>
    <xf numFmtId="0" fontId="66" fillId="3" borderId="109" xfId="0" applyFont="1" applyFill="1" applyBorder="1" applyAlignment="1" applyProtection="1">
      <alignment horizontal="center" vertical="center"/>
      <protection locked="0"/>
    </xf>
    <xf numFmtId="9" fontId="66" fillId="3" borderId="109" xfId="0" applyNumberFormat="1" applyFont="1" applyFill="1" applyBorder="1" applyAlignment="1" applyProtection="1">
      <alignment vertical="center" wrapText="1"/>
      <protection locked="0"/>
    </xf>
    <xf numFmtId="0" fontId="4" fillId="3" borderId="109" xfId="0" applyFont="1" applyFill="1" applyBorder="1" applyAlignment="1" applyProtection="1">
      <alignment vertical="center" wrapText="1"/>
      <protection hidden="1"/>
    </xf>
    <xf numFmtId="0" fontId="57" fillId="3" borderId="109" xfId="0" applyFont="1" applyFill="1" applyBorder="1" applyAlignment="1">
      <alignment horizontal="center" vertical="center" wrapText="1"/>
    </xf>
    <xf numFmtId="0" fontId="117" fillId="0" borderId="109" xfId="5" applyBorder="1" applyAlignment="1">
      <alignment horizontal="left" vertical="center" wrapText="1"/>
    </xf>
    <xf numFmtId="0" fontId="66" fillId="3" borderId="25" xfId="0" applyFont="1" applyFill="1" applyBorder="1" applyAlignment="1">
      <alignment horizontal="center" vertical="center"/>
    </xf>
    <xf numFmtId="0" fontId="66" fillId="3" borderId="27" xfId="0" applyFont="1" applyFill="1" applyBorder="1" applyAlignment="1">
      <alignment horizontal="center" vertical="center"/>
    </xf>
    <xf numFmtId="0" fontId="66" fillId="3" borderId="28" xfId="0" applyFont="1" applyFill="1" applyBorder="1" applyAlignment="1">
      <alignment horizontal="center" vertical="center"/>
    </xf>
    <xf numFmtId="9" fontId="66" fillId="3" borderId="110" xfId="0" applyNumberFormat="1" applyFont="1" applyFill="1" applyBorder="1" applyAlignment="1" applyProtection="1">
      <alignment vertical="center" wrapText="1"/>
      <protection locked="0"/>
    </xf>
    <xf numFmtId="0" fontId="4" fillId="3" borderId="110" xfId="0" applyFont="1" applyFill="1" applyBorder="1" applyAlignment="1" applyProtection="1">
      <alignment vertical="center" wrapText="1"/>
      <protection hidden="1"/>
    </xf>
    <xf numFmtId="0" fontId="0" fillId="0" borderId="109" xfId="0" applyBorder="1" applyAlignment="1">
      <alignment horizontal="center" vertical="center" wrapText="1"/>
    </xf>
    <xf numFmtId="0" fontId="117" fillId="0" borderId="109" xfId="5" applyBorder="1" applyAlignment="1">
      <alignment horizontal="center" vertical="center" wrapText="1"/>
    </xf>
    <xf numFmtId="0" fontId="95" fillId="3" borderId="117" xfId="0" applyFont="1" applyFill="1" applyBorder="1" applyAlignment="1">
      <alignment horizontal="center" vertical="center" wrapText="1"/>
    </xf>
    <xf numFmtId="0" fontId="95" fillId="3" borderId="110" xfId="0" applyFont="1" applyFill="1" applyBorder="1" applyAlignment="1">
      <alignment horizontal="center" vertical="center" wrapText="1"/>
    </xf>
    <xf numFmtId="0" fontId="95" fillId="3" borderId="110" xfId="0" applyFont="1" applyFill="1" applyBorder="1" applyAlignment="1" applyProtection="1">
      <alignment horizontal="left" vertical="center" wrapText="1"/>
      <protection locked="0"/>
    </xf>
    <xf numFmtId="0" fontId="95" fillId="3" borderId="110" xfId="0" applyFont="1" applyFill="1" applyBorder="1" applyAlignment="1" applyProtection="1">
      <alignment horizontal="center" vertical="center" wrapText="1"/>
      <protection locked="0"/>
    </xf>
    <xf numFmtId="0" fontId="95" fillId="3" borderId="110" xfId="0" applyFont="1" applyFill="1" applyBorder="1" applyAlignment="1" applyProtection="1">
      <alignment horizontal="center" vertical="center"/>
      <protection locked="0"/>
    </xf>
    <xf numFmtId="0" fontId="101" fillId="3" borderId="110" xfId="0" applyFont="1" applyFill="1" applyBorder="1" applyAlignment="1" applyProtection="1">
      <alignment vertical="center" wrapText="1"/>
      <protection hidden="1"/>
    </xf>
    <xf numFmtId="9" fontId="95" fillId="3" borderId="110" xfId="0" applyNumberFormat="1" applyFont="1" applyFill="1" applyBorder="1" applyAlignment="1" applyProtection="1">
      <alignment horizontal="center" vertical="center" wrapText="1"/>
      <protection hidden="1"/>
    </xf>
    <xf numFmtId="9" fontId="95" fillId="3" borderId="110" xfId="0" applyNumberFormat="1" applyFont="1" applyFill="1" applyBorder="1" applyAlignment="1" applyProtection="1">
      <alignment vertical="center" wrapText="1"/>
      <protection locked="0"/>
    </xf>
    <xf numFmtId="9" fontId="95" fillId="3" borderId="110" xfId="0" applyNumberFormat="1" applyFont="1" applyFill="1" applyBorder="1" applyAlignment="1" applyProtection="1">
      <alignment vertical="center" wrapText="1"/>
      <protection hidden="1"/>
    </xf>
    <xf numFmtId="0" fontId="49" fillId="3" borderId="110" xfId="0" applyFont="1" applyFill="1" applyBorder="1" applyAlignment="1" applyProtection="1">
      <alignment vertical="center" wrapText="1"/>
      <protection hidden="1"/>
    </xf>
    <xf numFmtId="0" fontId="95" fillId="3" borderId="110" xfId="0" applyFont="1" applyFill="1" applyBorder="1" applyAlignment="1">
      <alignment horizontal="center" vertical="center"/>
    </xf>
    <xf numFmtId="0" fontId="95" fillId="3" borderId="110" xfId="0" applyFont="1" applyFill="1" applyBorder="1" applyAlignment="1" applyProtection="1">
      <alignment horizontal="center" vertical="center" wrapText="1"/>
      <protection hidden="1"/>
    </xf>
    <xf numFmtId="0" fontId="95" fillId="3" borderId="110" xfId="0" applyFont="1" applyFill="1" applyBorder="1" applyAlignment="1" applyProtection="1">
      <alignment horizontal="center" vertical="center" textRotation="90" wrapText="1"/>
      <protection locked="0"/>
    </xf>
    <xf numFmtId="164" fontId="95" fillId="3" borderId="110" xfId="1" applyNumberFormat="1" applyFont="1" applyFill="1" applyBorder="1" applyAlignment="1">
      <alignment horizontal="center" vertical="center" wrapText="1"/>
    </xf>
    <xf numFmtId="0" fontId="101" fillId="3" borderId="110" xfId="0" applyFont="1" applyFill="1" applyBorder="1" applyAlignment="1" applyProtection="1">
      <alignment horizontal="center" vertical="center" textRotation="90" wrapText="1"/>
      <protection hidden="1"/>
    </xf>
    <xf numFmtId="0" fontId="44" fillId="3" borderId="110" xfId="0" applyFont="1" applyFill="1" applyBorder="1" applyAlignment="1" applyProtection="1">
      <alignment horizontal="center" vertical="center" wrapText="1"/>
      <protection locked="0"/>
    </xf>
    <xf numFmtId="14" fontId="95" fillId="3" borderId="110" xfId="0" applyNumberFormat="1" applyFont="1" applyFill="1" applyBorder="1" applyAlignment="1" applyProtection="1">
      <alignment horizontal="center" vertical="center" wrapText="1"/>
      <protection locked="0"/>
    </xf>
    <xf numFmtId="0" fontId="95" fillId="3" borderId="118" xfId="0" applyFont="1" applyFill="1" applyBorder="1" applyAlignment="1" applyProtection="1">
      <alignment horizontal="center" vertical="center" wrapText="1"/>
      <protection locked="0"/>
    </xf>
    <xf numFmtId="0" fontId="66" fillId="0" borderId="65" xfId="0" applyFont="1" applyBorder="1" applyAlignment="1">
      <alignment horizontal="left" vertical="center"/>
    </xf>
    <xf numFmtId="0" fontId="66" fillId="0" borderId="65" xfId="0" applyFont="1" applyBorder="1" applyAlignment="1">
      <alignment vertical="center" wrapText="1"/>
    </xf>
    <xf numFmtId="0" fontId="66" fillId="0" borderId="66" xfId="0" applyFont="1" applyBorder="1" applyAlignment="1">
      <alignment vertical="center" wrapText="1"/>
    </xf>
    <xf numFmtId="9" fontId="66" fillId="0" borderId="109" xfId="0" applyNumberFormat="1" applyFont="1" applyBorder="1" applyAlignment="1" applyProtection="1">
      <alignment vertical="center" wrapText="1"/>
      <protection hidden="1"/>
    </xf>
    <xf numFmtId="0" fontId="77" fillId="0" borderId="109" xfId="0" applyFont="1" applyBorder="1" applyAlignment="1" applyProtection="1">
      <alignment vertical="center" wrapText="1"/>
      <protection hidden="1"/>
    </xf>
    <xf numFmtId="9" fontId="66" fillId="0" borderId="109" xfId="0" applyNumberFormat="1" applyFont="1" applyBorder="1" applyAlignment="1" applyProtection="1">
      <alignment horizontal="center" vertical="center" wrapText="1"/>
      <protection hidden="1"/>
    </xf>
    <xf numFmtId="0" fontId="113" fillId="3" borderId="28" xfId="0" applyFont="1" applyFill="1" applyBorder="1" applyAlignment="1" applyProtection="1">
      <alignment horizontal="left" vertical="center" wrapText="1"/>
      <protection locked="0"/>
    </xf>
    <xf numFmtId="9" fontId="66" fillId="0" borderId="28" xfId="0" applyNumberFormat="1" applyFont="1" applyBorder="1" applyAlignment="1" applyProtection="1">
      <alignment vertical="center" wrapText="1"/>
      <protection hidden="1"/>
    </xf>
    <xf numFmtId="0" fontId="77" fillId="0" borderId="28" xfId="0" applyFont="1" applyBorder="1" applyAlignment="1" applyProtection="1">
      <alignment vertical="center" wrapText="1"/>
      <protection hidden="1"/>
    </xf>
    <xf numFmtId="9" fontId="66" fillId="0" borderId="28" xfId="0" applyNumberFormat="1" applyFont="1" applyBorder="1" applyAlignment="1" applyProtection="1">
      <alignment horizontal="center" vertical="center" wrapText="1"/>
      <protection hidden="1"/>
    </xf>
    <xf numFmtId="0" fontId="66" fillId="3" borderId="28" xfId="0" applyFont="1" applyFill="1" applyBorder="1" applyAlignment="1" applyProtection="1">
      <alignment horizontal="left" vertical="center" wrapText="1"/>
      <protection locked="0"/>
    </xf>
    <xf numFmtId="0" fontId="0" fillId="0" borderId="28" xfId="0" applyBorder="1" applyAlignment="1">
      <alignment horizontal="center" vertical="center" wrapText="1"/>
    </xf>
    <xf numFmtId="0" fontId="117" fillId="0" borderId="28" xfId="5" applyBorder="1" applyAlignment="1">
      <alignment horizontal="left" vertical="center" wrapText="1"/>
    </xf>
    <xf numFmtId="0" fontId="118" fillId="0" borderId="110" xfId="0" applyFont="1" applyFill="1" applyBorder="1" applyAlignment="1">
      <alignment horizontal="center" vertical="center" wrapText="1"/>
    </xf>
    <xf numFmtId="0" fontId="117" fillId="0" borderId="110" xfId="5" applyFill="1" applyBorder="1" applyAlignment="1">
      <alignment horizontal="left" vertical="center" wrapText="1"/>
    </xf>
  </cellXfs>
  <cellStyles count="6">
    <cellStyle name="Hipervínculo" xfId="5" builtinId="8"/>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275">
    <dxf>
      <fill>
        <patternFill>
          <bgColor rgb="FFC00000"/>
        </patternFill>
      </fill>
    </dxf>
    <dxf>
      <fill>
        <patternFill>
          <bgColor theme="9" tint="-0.24994659260841701"/>
        </patternFill>
      </fill>
    </dxf>
    <dxf>
      <fill>
        <patternFill>
          <bgColor rgb="FFFFFF00"/>
        </patternFill>
      </fill>
    </dxf>
    <dxf>
      <fill>
        <patternFill>
          <bgColor rgb="FF92D050"/>
        </patternFill>
      </fill>
    </dxf>
    <dxf>
      <font>
        <color auto="1"/>
      </font>
      <fill>
        <patternFill>
          <bgColor rgb="FFC00000"/>
        </patternFill>
      </fill>
    </dxf>
    <dxf>
      <font>
        <color auto="1"/>
      </font>
      <fill>
        <patternFill>
          <bgColor rgb="FFFFFF00"/>
        </patternFill>
      </fill>
    </dxf>
    <dxf>
      <font>
        <color theme="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theme="1"/>
      </font>
      <fill>
        <patternFill>
          <bgColor rgb="FF92D05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theme="1"/>
      </font>
      <fill>
        <patternFill>
          <bgColor rgb="FF92D050"/>
        </patternFill>
      </fill>
    </dxf>
    <dxf>
      <font>
        <color auto="1"/>
      </font>
      <fill>
        <patternFill>
          <bgColor rgb="FFFFFF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ont>
        <color auto="1"/>
      </font>
      <fill>
        <patternFill>
          <bgColor rgb="FFFFFF00"/>
        </patternFill>
      </fill>
    </dxf>
    <dxf>
      <font>
        <color theme="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C00000"/>
        </patternFill>
      </fill>
    </dxf>
    <dxf>
      <font>
        <color auto="1"/>
      </font>
      <fill>
        <patternFill>
          <bgColor rgb="FFFFFF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ont>
        <color theme="1"/>
      </font>
      <fill>
        <patternFill>
          <bgColor rgb="FF92D050"/>
        </patternFill>
      </fill>
    </dxf>
    <dxf>
      <font>
        <color auto="1"/>
      </font>
      <fill>
        <patternFill>
          <bgColor rgb="FFFFFF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00"/>
        </patternFill>
      </fill>
    </dxf>
    <dxf>
      <fill>
        <patternFill>
          <bgColor rgb="FF00B05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287840"/>
      <color rgb="FFB4B3B6"/>
      <color rgb="FF4EA933"/>
      <color rgb="FF9BE264"/>
      <color rgb="FFFFCC00"/>
      <color rgb="FFFF99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pivotCacheDefinition" Target="pivotCache/pivotCacheDefinition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Mapa final SST'!A1"/><Relationship Id="rId13" Type="http://schemas.openxmlformats.org/officeDocument/2006/relationships/image" Target="../media/image6.png"/><Relationship Id="rId3" Type="http://schemas.openxmlformats.org/officeDocument/2006/relationships/hyperlink" Target="#'Matriz Calor Residual'!A1"/><Relationship Id="rId7" Type="http://schemas.openxmlformats.org/officeDocument/2006/relationships/image" Target="../media/image3.svg"/><Relationship Id="rId12" Type="http://schemas.openxmlformats.org/officeDocument/2006/relationships/hyperlink" Target="#'Mapa final SI'!A1"/><Relationship Id="rId17" Type="http://schemas.openxmlformats.org/officeDocument/2006/relationships/image" Target="../media/image8.png"/><Relationship Id="rId2" Type="http://schemas.openxmlformats.org/officeDocument/2006/relationships/hyperlink" Target="#'CAMBIOS REGISTRO'!A1"/><Relationship Id="rId16" Type="http://schemas.openxmlformats.org/officeDocument/2006/relationships/hyperlink" Target="#'Mapa final GC'!A1"/><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image" Target="../media/image5.png"/><Relationship Id="rId5" Type="http://schemas.openxmlformats.org/officeDocument/2006/relationships/hyperlink" Target="#'CRITERIOS R CORRUPCION'!A1"/><Relationship Id="rId15" Type="http://schemas.openxmlformats.org/officeDocument/2006/relationships/image" Target="../media/image7.png"/><Relationship Id="rId10" Type="http://schemas.openxmlformats.org/officeDocument/2006/relationships/hyperlink" Target="#'Mapa final AM'!A1"/><Relationship Id="rId4" Type="http://schemas.openxmlformats.org/officeDocument/2006/relationships/hyperlink" Target="#'Matriz Calor Inherente'!A1"/><Relationship Id="rId9" Type="http://schemas.openxmlformats.org/officeDocument/2006/relationships/image" Target="../media/image4.png"/><Relationship Id="rId14" Type="http://schemas.openxmlformats.org/officeDocument/2006/relationships/hyperlink" Target="#'Mapa final AU'!A1"/></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12.xml.rels><?xml version="1.0" encoding="UTF-8" standalone="yes"?>
<Relationships xmlns="http://schemas.openxmlformats.org/package/2006/relationships"><Relationship Id="rId2" Type="http://schemas.openxmlformats.org/officeDocument/2006/relationships/hyperlink" Target="#'PORTADA '!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 '!A1"/><Relationship Id="rId1" Type="http://schemas.openxmlformats.org/officeDocument/2006/relationships/image" Target="../media/image1.png"/><Relationship Id="rId4" Type="http://schemas.openxmlformats.org/officeDocument/2006/relationships/image" Target="../media/image10.sv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1083929</xdr:colOff>
      <xdr:row>1</xdr:row>
      <xdr:rowOff>102415</xdr:rowOff>
    </xdr:from>
    <xdr:to>
      <xdr:col>2</xdr:col>
      <xdr:colOff>661737</xdr:colOff>
      <xdr:row>3</xdr:row>
      <xdr:rowOff>261785</xdr:rowOff>
    </xdr:to>
    <xdr:pic>
      <xdr:nvPicPr>
        <xdr:cNvPr id="2" name="Imagen 4">
          <a:extLst>
            <a:ext uri="{FF2B5EF4-FFF2-40B4-BE49-F238E27FC236}">
              <a16:creationId xmlns:a16="http://schemas.microsoft.com/office/drawing/2014/main" id="{B20ACFEF-BE51-4575-BEA3-DF4E537E9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13" y="262836"/>
          <a:ext cx="700756" cy="77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80211</xdr:colOff>
      <xdr:row>31</xdr:row>
      <xdr:rowOff>50132</xdr:rowOff>
    </xdr:from>
    <xdr:to>
      <xdr:col>13</xdr:col>
      <xdr:colOff>604086</xdr:colOff>
      <xdr:row>37</xdr:row>
      <xdr:rowOff>50132</xdr:rowOff>
    </xdr:to>
    <xdr:sp macro="" textlink="">
      <xdr:nvSpPr>
        <xdr:cNvPr id="3" name="Diagrama de flujo: multidocumento 2">
          <a:hlinkClick xmlns:r="http://schemas.openxmlformats.org/officeDocument/2006/relationships" r:id="rId2"/>
          <a:extLst>
            <a:ext uri="{FF2B5EF4-FFF2-40B4-BE49-F238E27FC236}">
              <a16:creationId xmlns:a16="http://schemas.microsoft.com/office/drawing/2014/main" id="{561EEA2B-EE45-474B-B261-C2F77FE53BED}"/>
            </a:ext>
            <a:ext uri="{147F2762-F138-4A5C-976F-8EAC2B608ADB}">
              <a16:predDERef xmlns:a16="http://schemas.microsoft.com/office/drawing/2014/main" pred="{A0CA84D1-D22B-4210-8FA4-F089CFE3202B}"/>
            </a:ext>
          </a:extLst>
        </xdr:cNvPr>
        <xdr:cNvSpPr/>
      </xdr:nvSpPr>
      <xdr:spPr>
        <a:xfrm>
          <a:off x="9314448" y="6035843"/>
          <a:ext cx="1285875" cy="1143000"/>
        </a:xfrm>
        <a:prstGeom prst="flowChartMultidocument">
          <a:avLst/>
        </a:prstGeom>
        <a:solidFill>
          <a:srgbClr val="287840"/>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ctr"/>
          <a:r>
            <a:rPr lang="en-US" sz="1100" b="1" i="0" u="none" strike="noStrike">
              <a:solidFill>
                <a:schemeClr val="lt1"/>
              </a:solidFill>
              <a:latin typeface="Calibri" panose="020F0502020204030204" pitchFamily="34" charset="0"/>
              <a:cs typeface="Calibri" panose="020F0502020204030204" pitchFamily="34" charset="0"/>
            </a:rPr>
            <a:t>CONTROL DE CAMBIOS </a:t>
          </a:r>
        </a:p>
      </xdr:txBody>
    </xdr:sp>
    <xdr:clientData/>
  </xdr:twoCellAnchor>
  <xdr:twoCellAnchor>
    <xdr:from>
      <xdr:col>2</xdr:col>
      <xdr:colOff>240631</xdr:colOff>
      <xdr:row>8</xdr:row>
      <xdr:rowOff>150395</xdr:rowOff>
    </xdr:from>
    <xdr:to>
      <xdr:col>12</xdr:col>
      <xdr:colOff>561474</xdr:colOff>
      <xdr:row>28</xdr:row>
      <xdr:rowOff>60158</xdr:rowOff>
    </xdr:to>
    <xdr:grpSp>
      <xdr:nvGrpSpPr>
        <xdr:cNvPr id="4" name="Google Shape;6040;p62">
          <a:extLst>
            <a:ext uri="{FF2B5EF4-FFF2-40B4-BE49-F238E27FC236}">
              <a16:creationId xmlns:a16="http://schemas.microsoft.com/office/drawing/2014/main" id="{B3F5F72E-E959-4301-B587-7E1224BDEF5E}"/>
            </a:ext>
          </a:extLst>
        </xdr:cNvPr>
        <xdr:cNvGrpSpPr/>
      </xdr:nvGrpSpPr>
      <xdr:grpSpPr>
        <a:xfrm>
          <a:off x="1624263" y="2145632"/>
          <a:ext cx="8482264" cy="4010526"/>
          <a:chOff x="238125" y="1188750"/>
          <a:chExt cx="7140450" cy="3335550"/>
        </a:xfrm>
      </xdr:grpSpPr>
      <xdr:sp macro="" textlink="">
        <xdr:nvSpPr>
          <xdr:cNvPr id="5" name="Google Shape;6041;p62">
            <a:extLst>
              <a:ext uri="{FF2B5EF4-FFF2-40B4-BE49-F238E27FC236}">
                <a16:creationId xmlns:a16="http://schemas.microsoft.com/office/drawing/2014/main" id="{18AB30EA-3692-4E95-AC57-A61DDC3B62D6}"/>
              </a:ext>
            </a:extLst>
          </xdr:cNvPr>
          <xdr:cNvSpPr/>
        </xdr:nvSpPr>
        <xdr:spPr>
          <a:xfrm>
            <a:off x="238125" y="1188750"/>
            <a:ext cx="3507025" cy="1584000"/>
          </a:xfrm>
          <a:custGeom>
            <a:avLst/>
            <a:gdLst/>
            <a:ahLst/>
            <a:cxnLst/>
            <a:rect l="l" t="t" r="r" b="b"/>
            <a:pathLst>
              <a:path w="140281" h="63360" extrusionOk="0">
                <a:moveTo>
                  <a:pt x="4021" y="0"/>
                </a:moveTo>
                <a:cubicBezTo>
                  <a:pt x="1801" y="6"/>
                  <a:pt x="6" y="1801"/>
                  <a:pt x="0" y="4021"/>
                </a:cubicBezTo>
                <a:lnTo>
                  <a:pt x="0" y="59338"/>
                </a:lnTo>
                <a:cubicBezTo>
                  <a:pt x="6" y="61552"/>
                  <a:pt x="1801" y="63354"/>
                  <a:pt x="4021" y="63359"/>
                </a:cubicBezTo>
                <a:lnTo>
                  <a:pt x="98272" y="63359"/>
                </a:lnTo>
                <a:cubicBezTo>
                  <a:pt x="99963" y="41512"/>
                  <a:pt x="118098" y="24204"/>
                  <a:pt x="140280" y="23813"/>
                </a:cubicBezTo>
                <a:lnTo>
                  <a:pt x="140280" y="4021"/>
                </a:lnTo>
                <a:cubicBezTo>
                  <a:pt x="140275" y="1801"/>
                  <a:pt x="138474" y="6"/>
                  <a:pt x="136259" y="0"/>
                </a:cubicBezTo>
                <a:close/>
              </a:path>
            </a:pathLst>
          </a:custGeom>
          <a:solidFill>
            <a:srgbClr val="287840"/>
          </a:solidFill>
          <a:ln>
            <a:noFill/>
          </a:ln>
          <a:scene3d>
            <a:camera prst="orthographicFront"/>
            <a:lightRig rig="threePt" dir="t"/>
          </a:scene3d>
          <a:sp3d/>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MX" b="1">
                <a:solidFill>
                  <a:schemeClr val="bg1"/>
                </a:solidFill>
              </a:rPr>
              <a:t>CONTEXTO -</a:t>
            </a:r>
            <a:r>
              <a:rPr lang="es-MX" b="1" baseline="0">
                <a:solidFill>
                  <a:schemeClr val="bg1"/>
                </a:solidFill>
              </a:rPr>
              <a:t> DOFA</a:t>
            </a:r>
          </a:p>
          <a:p>
            <a:pPr marL="0" lvl="0" indent="0" algn="ctr" rtl="0">
              <a:spcBef>
                <a:spcPts val="0"/>
              </a:spcBef>
              <a:spcAft>
                <a:spcPts val="0"/>
              </a:spcAft>
              <a:buNone/>
            </a:pPr>
            <a:r>
              <a:rPr lang="es-MX" b="1" baseline="0">
                <a:solidFill>
                  <a:schemeClr val="bg1"/>
                </a:solidFill>
              </a:rPr>
              <a:t>(KAWAK)</a:t>
            </a:r>
            <a:endParaRPr b="1">
              <a:solidFill>
                <a:schemeClr val="bg1"/>
              </a:solidFill>
            </a:endParaRPr>
          </a:p>
        </xdr:txBody>
      </xdr:sp>
      <xdr:sp macro="" textlink="">
        <xdr:nvSpPr>
          <xdr:cNvPr id="6" name="Google Shape;6042;p62">
            <a:hlinkClick xmlns:r="http://schemas.openxmlformats.org/officeDocument/2006/relationships" r:id="rId3"/>
            <a:extLst>
              <a:ext uri="{FF2B5EF4-FFF2-40B4-BE49-F238E27FC236}">
                <a16:creationId xmlns:a16="http://schemas.microsoft.com/office/drawing/2014/main" id="{BD507546-1AC8-44E1-93E6-7187A5D8A960}"/>
              </a:ext>
            </a:extLst>
          </xdr:cNvPr>
          <xdr:cNvSpPr/>
        </xdr:nvSpPr>
        <xdr:spPr>
          <a:xfrm>
            <a:off x="238125" y="2940300"/>
            <a:ext cx="3507025" cy="1584000"/>
          </a:xfrm>
          <a:custGeom>
            <a:avLst/>
            <a:gdLst/>
            <a:ahLst/>
            <a:cxnLst/>
            <a:rect l="l" t="t" r="r" b="b"/>
            <a:pathLst>
              <a:path w="140281" h="63360" extrusionOk="0">
                <a:moveTo>
                  <a:pt x="4021" y="1"/>
                </a:moveTo>
                <a:cubicBezTo>
                  <a:pt x="1801" y="6"/>
                  <a:pt x="6" y="1808"/>
                  <a:pt x="0" y="4022"/>
                </a:cubicBezTo>
                <a:lnTo>
                  <a:pt x="0" y="59339"/>
                </a:lnTo>
                <a:cubicBezTo>
                  <a:pt x="6" y="61559"/>
                  <a:pt x="1801" y="63354"/>
                  <a:pt x="4021" y="63360"/>
                </a:cubicBezTo>
                <a:lnTo>
                  <a:pt x="136259" y="63360"/>
                </a:lnTo>
                <a:cubicBezTo>
                  <a:pt x="138474" y="63354"/>
                  <a:pt x="140275" y="61559"/>
                  <a:pt x="140280" y="59339"/>
                </a:cubicBezTo>
                <a:lnTo>
                  <a:pt x="140280" y="39547"/>
                </a:lnTo>
                <a:cubicBezTo>
                  <a:pt x="118098" y="39155"/>
                  <a:pt x="99963" y="21848"/>
                  <a:pt x="98272" y="1"/>
                </a:cubicBezTo>
                <a:close/>
              </a:path>
            </a:pathLst>
          </a:custGeom>
          <a:solidFill>
            <a:srgbClr val="B4B3B6"/>
          </a:solidFill>
          <a:ln>
            <a:noFill/>
          </a:ln>
          <a:scene3d>
            <a:camera prst="orthographicFront"/>
            <a:lightRig rig="threePt" dir="t"/>
          </a:scene3d>
          <a:sp3d/>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s-CO" sz="1400" b="1" i="0" u="none" strike="noStrike" cap="none">
                <a:solidFill>
                  <a:schemeClr val="bg1"/>
                </a:solidFill>
                <a:effectLst/>
                <a:latin typeface="Arial"/>
                <a:ea typeface="Arial"/>
                <a:cs typeface="Arial"/>
                <a:sym typeface="Arial"/>
              </a:rPr>
              <a:t>MATRIZ CALOR</a:t>
            </a:r>
          </a:p>
          <a:p>
            <a:pPr algn="ctr"/>
            <a:r>
              <a:rPr lang="es-CO" sz="1400" b="1" i="0" u="none" strike="noStrike" cap="none">
                <a:solidFill>
                  <a:schemeClr val="bg1"/>
                </a:solidFill>
                <a:effectLst/>
                <a:latin typeface="Arial"/>
                <a:ea typeface="Arial"/>
                <a:cs typeface="Arial"/>
                <a:sym typeface="Arial"/>
              </a:rPr>
              <a:t> RESIDUAL</a:t>
            </a:r>
          </a:p>
          <a:p>
            <a:pPr marL="0" lvl="0" indent="0" algn="ctr" rtl="0">
              <a:spcBef>
                <a:spcPts val="0"/>
              </a:spcBef>
              <a:spcAft>
                <a:spcPts val="0"/>
              </a:spcAft>
              <a:buNone/>
            </a:pPr>
            <a:endParaRPr/>
          </a:p>
        </xdr:txBody>
      </xdr:sp>
      <xdr:sp macro="" textlink="">
        <xdr:nvSpPr>
          <xdr:cNvPr id="7" name="Google Shape;6043;p62">
            <a:extLst>
              <a:ext uri="{FF2B5EF4-FFF2-40B4-BE49-F238E27FC236}">
                <a16:creationId xmlns:a16="http://schemas.microsoft.com/office/drawing/2014/main" id="{B42689E8-C2D2-49B1-8850-0208BA377BE1}"/>
              </a:ext>
            </a:extLst>
          </xdr:cNvPr>
          <xdr:cNvSpPr/>
        </xdr:nvSpPr>
        <xdr:spPr>
          <a:xfrm>
            <a:off x="3846229" y="1222105"/>
            <a:ext cx="3507025" cy="1584000"/>
          </a:xfrm>
          <a:custGeom>
            <a:avLst/>
            <a:gdLst/>
            <a:ahLst/>
            <a:cxnLst/>
            <a:rect l="l" t="t" r="r" b="b"/>
            <a:pathLst>
              <a:path w="140281" h="63360" extrusionOk="0">
                <a:moveTo>
                  <a:pt x="4022" y="0"/>
                </a:moveTo>
                <a:cubicBezTo>
                  <a:pt x="1807" y="6"/>
                  <a:pt x="6" y="1801"/>
                  <a:pt x="0" y="4021"/>
                </a:cubicBezTo>
                <a:lnTo>
                  <a:pt x="0" y="24017"/>
                </a:lnTo>
                <a:cubicBezTo>
                  <a:pt x="20553" y="26066"/>
                  <a:pt x="36886" y="42675"/>
                  <a:pt x="38494" y="63359"/>
                </a:cubicBezTo>
                <a:lnTo>
                  <a:pt x="136260" y="63359"/>
                </a:lnTo>
                <a:cubicBezTo>
                  <a:pt x="138480" y="63354"/>
                  <a:pt x="140275" y="61552"/>
                  <a:pt x="140281" y="59338"/>
                </a:cubicBezTo>
                <a:lnTo>
                  <a:pt x="140281" y="4021"/>
                </a:lnTo>
                <a:cubicBezTo>
                  <a:pt x="140275" y="1801"/>
                  <a:pt x="138480" y="6"/>
                  <a:pt x="136260" y="0"/>
                </a:cubicBezTo>
                <a:close/>
              </a:path>
            </a:pathLst>
          </a:custGeom>
          <a:solidFill>
            <a:srgbClr val="B4B3B6"/>
          </a:solidFill>
          <a:ln>
            <a:noFill/>
          </a:ln>
          <a:scene3d>
            <a:camera prst="orthographicFront"/>
            <a:lightRig rig="threePt" dir="t"/>
          </a:scene3d>
          <a:sp3d/>
        </xdr:spPr>
        <xdr:txBody>
          <a:bodyPr spcFirstLastPara="1" wrap="square" lIns="91425" tIns="91425" rIns="91425" bIns="91425" anchor="b"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r" rtl="0">
              <a:spcBef>
                <a:spcPts val="0"/>
              </a:spcBef>
              <a:spcAft>
                <a:spcPts val="0"/>
              </a:spcAft>
              <a:buNone/>
            </a:pPr>
            <a:r>
              <a:rPr lang="es-MX" b="1">
                <a:solidFill>
                  <a:schemeClr val="bg1"/>
                </a:solidFill>
              </a:rPr>
              <a:t>  </a:t>
            </a:r>
            <a:r>
              <a:rPr lang="es-MX" sz="1100" b="1">
                <a:solidFill>
                  <a:schemeClr val="bg1"/>
                </a:solidFill>
              </a:rPr>
              <a:t>MAPA DE</a:t>
            </a:r>
            <a:r>
              <a:rPr lang="es-MX" sz="1100" b="1" baseline="0">
                <a:solidFill>
                  <a:schemeClr val="bg1"/>
                </a:solidFill>
              </a:rPr>
              <a:t> </a:t>
            </a:r>
            <a:r>
              <a:rPr lang="es-MX" sz="1100" b="1">
                <a:solidFill>
                  <a:schemeClr val="bg1"/>
                </a:solidFill>
              </a:rPr>
              <a:t>RIESGOS</a:t>
            </a:r>
            <a:r>
              <a:rPr lang="es-MX" sz="1100" b="1" baseline="0">
                <a:solidFill>
                  <a:schemeClr val="bg1"/>
                </a:solidFill>
              </a:rPr>
              <a:t> DEL SGI</a:t>
            </a:r>
            <a:endParaRPr sz="1100" b="1">
              <a:solidFill>
                <a:schemeClr val="bg1"/>
              </a:solidFill>
            </a:endParaRPr>
          </a:p>
        </xdr:txBody>
      </xdr:sp>
      <xdr:sp macro="" textlink="">
        <xdr:nvSpPr>
          <xdr:cNvPr id="8" name="Google Shape;6044;p62">
            <a:hlinkClick xmlns:r="http://schemas.openxmlformats.org/officeDocument/2006/relationships" r:id="rId4"/>
            <a:extLst>
              <a:ext uri="{FF2B5EF4-FFF2-40B4-BE49-F238E27FC236}">
                <a16:creationId xmlns:a16="http://schemas.microsoft.com/office/drawing/2014/main" id="{CDE12DC8-5FFF-4D49-BD61-EB6409C00729}"/>
              </a:ext>
            </a:extLst>
          </xdr:cNvPr>
          <xdr:cNvSpPr/>
        </xdr:nvSpPr>
        <xdr:spPr>
          <a:xfrm>
            <a:off x="3871550" y="2940300"/>
            <a:ext cx="3507025" cy="1584000"/>
          </a:xfrm>
          <a:custGeom>
            <a:avLst/>
            <a:gdLst/>
            <a:ahLst/>
            <a:cxnLst/>
            <a:rect l="l" t="t" r="r" b="b"/>
            <a:pathLst>
              <a:path w="140281" h="63360" extrusionOk="0">
                <a:moveTo>
                  <a:pt x="38494" y="1"/>
                </a:moveTo>
                <a:cubicBezTo>
                  <a:pt x="36886" y="20680"/>
                  <a:pt x="20553" y="37294"/>
                  <a:pt x="0" y="39343"/>
                </a:cubicBezTo>
                <a:lnTo>
                  <a:pt x="0" y="59339"/>
                </a:lnTo>
                <a:cubicBezTo>
                  <a:pt x="6" y="61559"/>
                  <a:pt x="1807" y="63354"/>
                  <a:pt x="4022" y="63360"/>
                </a:cubicBezTo>
                <a:lnTo>
                  <a:pt x="136260" y="63360"/>
                </a:lnTo>
                <a:cubicBezTo>
                  <a:pt x="138480" y="63354"/>
                  <a:pt x="140275" y="61559"/>
                  <a:pt x="140281" y="59339"/>
                </a:cubicBezTo>
                <a:lnTo>
                  <a:pt x="140281" y="4022"/>
                </a:lnTo>
                <a:cubicBezTo>
                  <a:pt x="140275" y="1808"/>
                  <a:pt x="138480" y="6"/>
                  <a:pt x="136260" y="1"/>
                </a:cubicBezTo>
                <a:close/>
              </a:path>
            </a:pathLst>
          </a:custGeom>
          <a:solidFill>
            <a:srgbClr val="287840"/>
          </a:solidFill>
          <a:ln>
            <a:noFill/>
          </a:ln>
          <a:scene3d>
            <a:camera prst="orthographicFront"/>
            <a:lightRig rig="threePt" dir="t"/>
          </a:scene3d>
          <a:sp3d/>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s-CO" sz="1400" b="1" i="0" u="none" strike="noStrike" cap="none">
                <a:solidFill>
                  <a:schemeClr val="bg1"/>
                </a:solidFill>
                <a:effectLst/>
                <a:latin typeface="Arial"/>
                <a:ea typeface="Arial"/>
                <a:cs typeface="Arial"/>
                <a:sym typeface="Arial"/>
              </a:rPr>
              <a:t>MATRIZ CALOR </a:t>
            </a:r>
          </a:p>
          <a:p>
            <a:pPr algn="ctr"/>
            <a:r>
              <a:rPr lang="es-CO" sz="1400" b="1" i="0" u="none" strike="noStrike" cap="none">
                <a:solidFill>
                  <a:schemeClr val="bg1"/>
                </a:solidFill>
                <a:effectLst/>
                <a:latin typeface="Arial"/>
                <a:ea typeface="Arial"/>
                <a:cs typeface="Arial"/>
                <a:sym typeface="Arial"/>
              </a:rPr>
              <a:t>INHERENTE</a:t>
            </a:r>
          </a:p>
        </xdr:txBody>
      </xdr:sp>
      <xdr:sp macro="" textlink="">
        <xdr:nvSpPr>
          <xdr:cNvPr id="9" name="Google Shape;6045;p62">
            <a:extLst>
              <a:ext uri="{FF2B5EF4-FFF2-40B4-BE49-F238E27FC236}">
                <a16:creationId xmlns:a16="http://schemas.microsoft.com/office/drawing/2014/main" id="{4F08F53C-068E-4448-BD7A-AC4DC9C52EAA}"/>
              </a:ext>
            </a:extLst>
          </xdr:cNvPr>
          <xdr:cNvSpPr/>
        </xdr:nvSpPr>
        <xdr:spPr>
          <a:xfrm>
            <a:off x="2842425" y="1934600"/>
            <a:ext cx="1843850" cy="1843850"/>
          </a:xfrm>
          <a:custGeom>
            <a:avLst/>
            <a:gdLst/>
            <a:ahLst/>
            <a:cxnLst/>
            <a:rect l="l" t="t" r="r" b="b"/>
            <a:pathLst>
              <a:path w="73754" h="73754" extrusionOk="0">
                <a:moveTo>
                  <a:pt x="36880" y="0"/>
                </a:moveTo>
                <a:cubicBezTo>
                  <a:pt x="36621" y="0"/>
                  <a:pt x="36362" y="6"/>
                  <a:pt x="36108" y="11"/>
                </a:cubicBezTo>
                <a:cubicBezTo>
                  <a:pt x="17253" y="397"/>
                  <a:pt x="1834" y="15011"/>
                  <a:pt x="154" y="33525"/>
                </a:cubicBezTo>
                <a:cubicBezTo>
                  <a:pt x="55" y="34627"/>
                  <a:pt x="0" y="35745"/>
                  <a:pt x="0" y="36874"/>
                </a:cubicBezTo>
                <a:cubicBezTo>
                  <a:pt x="0" y="38009"/>
                  <a:pt x="55" y="39122"/>
                  <a:pt x="154" y="40229"/>
                </a:cubicBezTo>
                <a:cubicBezTo>
                  <a:pt x="1834" y="58749"/>
                  <a:pt x="17253" y="73357"/>
                  <a:pt x="36108" y="73743"/>
                </a:cubicBezTo>
                <a:cubicBezTo>
                  <a:pt x="36362" y="73748"/>
                  <a:pt x="36621" y="73754"/>
                  <a:pt x="36880" y="73754"/>
                </a:cubicBezTo>
                <a:cubicBezTo>
                  <a:pt x="38312" y="73754"/>
                  <a:pt x="39744" y="73666"/>
                  <a:pt x="41165" y="73500"/>
                </a:cubicBezTo>
                <a:cubicBezTo>
                  <a:pt x="58391" y="71495"/>
                  <a:pt x="72030" y="57581"/>
                  <a:pt x="73600" y="40229"/>
                </a:cubicBezTo>
                <a:cubicBezTo>
                  <a:pt x="73699" y="39127"/>
                  <a:pt x="73754" y="38009"/>
                  <a:pt x="73754" y="36874"/>
                </a:cubicBezTo>
                <a:cubicBezTo>
                  <a:pt x="73754" y="35745"/>
                  <a:pt x="73699" y="34632"/>
                  <a:pt x="73600" y="33525"/>
                </a:cubicBezTo>
                <a:cubicBezTo>
                  <a:pt x="72024" y="16173"/>
                  <a:pt x="58391" y="2259"/>
                  <a:pt x="41165" y="254"/>
                </a:cubicBezTo>
                <a:cubicBezTo>
                  <a:pt x="39744" y="88"/>
                  <a:pt x="38312" y="0"/>
                  <a:pt x="36880" y="0"/>
                </a:cubicBezTo>
                <a:close/>
              </a:path>
            </a:pathLst>
          </a:custGeom>
          <a:solidFill>
            <a:srgbClr val="287840"/>
          </a:solidFill>
          <a:ln>
            <a:noFill/>
          </a:ln>
          <a:scene3d>
            <a:camera prst="orthographicFront"/>
            <a:lightRig rig="threePt" dir="t"/>
          </a:scene3d>
          <a:sp3d/>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r>
              <a:rPr lang="es-MX" b="1">
                <a:solidFill>
                  <a:schemeClr val="bg1"/>
                </a:solidFill>
              </a:rPr>
              <a:t>SISTEMA DE GESTION INTEGRADO</a:t>
            </a:r>
            <a:r>
              <a:rPr lang="es-MX" b="1" baseline="0">
                <a:solidFill>
                  <a:schemeClr val="bg1"/>
                </a:solidFill>
              </a:rPr>
              <a:t> ETITC</a:t>
            </a:r>
            <a:endParaRPr b="1">
              <a:solidFill>
                <a:schemeClr val="bg1"/>
              </a:solidFill>
            </a:endParaRPr>
          </a:p>
        </xdr:txBody>
      </xdr:sp>
    </xdr:grpSp>
    <xdr:clientData/>
  </xdr:twoCellAnchor>
  <xdr:twoCellAnchor editAs="oneCell">
    <xdr:from>
      <xdr:col>3</xdr:col>
      <xdr:colOff>180473</xdr:colOff>
      <xdr:row>31</xdr:row>
      <xdr:rowOff>82217</xdr:rowOff>
    </xdr:from>
    <xdr:to>
      <xdr:col>5</xdr:col>
      <xdr:colOff>10027</xdr:colOff>
      <xdr:row>38</xdr:row>
      <xdr:rowOff>92244</xdr:rowOff>
    </xdr:to>
    <xdr:pic>
      <xdr:nvPicPr>
        <xdr:cNvPr id="11" name="Gráfico 10" descr="Lista de comprobación">
          <a:hlinkClick xmlns:r="http://schemas.openxmlformats.org/officeDocument/2006/relationships" r:id="rId5"/>
          <a:extLst>
            <a:ext uri="{FF2B5EF4-FFF2-40B4-BE49-F238E27FC236}">
              <a16:creationId xmlns:a16="http://schemas.microsoft.com/office/drawing/2014/main" id="{B2681AEC-BB6E-40BC-9B5F-2C3C98ED35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168315" y="6458954"/>
          <a:ext cx="1353553" cy="1353553"/>
        </a:xfrm>
        <a:prstGeom prst="rect">
          <a:avLst/>
        </a:prstGeom>
      </xdr:spPr>
    </xdr:pic>
    <xdr:clientData/>
  </xdr:twoCellAnchor>
  <xdr:twoCellAnchor editAs="oneCell">
    <xdr:from>
      <xdr:col>10</xdr:col>
      <xdr:colOff>110289</xdr:colOff>
      <xdr:row>9</xdr:row>
      <xdr:rowOff>79946</xdr:rowOff>
    </xdr:from>
    <xdr:to>
      <xdr:col>12</xdr:col>
      <xdr:colOff>350920</xdr:colOff>
      <xdr:row>11</xdr:row>
      <xdr:rowOff>139219</xdr:rowOff>
    </xdr:to>
    <xdr:pic>
      <xdr:nvPicPr>
        <xdr:cNvPr id="28" name="Imagen 27">
          <a:hlinkClick xmlns:r="http://schemas.openxmlformats.org/officeDocument/2006/relationships" r:id="rId8"/>
          <a:extLst>
            <a:ext uri="{FF2B5EF4-FFF2-40B4-BE49-F238E27FC236}">
              <a16:creationId xmlns:a16="http://schemas.microsoft.com/office/drawing/2014/main" id="{3E65A4EE-11D2-5A83-ECFA-65B57D2F740A}"/>
            </a:ext>
          </a:extLst>
        </xdr:cNvPr>
        <xdr:cNvPicPr>
          <a:picLocks noChangeAspect="1"/>
        </xdr:cNvPicPr>
      </xdr:nvPicPr>
      <xdr:blipFill>
        <a:blip xmlns:r="http://schemas.openxmlformats.org/officeDocument/2006/relationships" r:embed="rId9"/>
        <a:stretch>
          <a:fillRect/>
        </a:stretch>
      </xdr:blipFill>
      <xdr:spPr>
        <a:xfrm>
          <a:off x="8211552" y="2265683"/>
          <a:ext cx="1684421" cy="440273"/>
        </a:xfrm>
        <a:prstGeom prst="rect">
          <a:avLst/>
        </a:prstGeom>
      </xdr:spPr>
    </xdr:pic>
    <xdr:clientData/>
  </xdr:twoCellAnchor>
  <xdr:twoCellAnchor editAs="oneCell">
    <xdr:from>
      <xdr:col>7</xdr:col>
      <xdr:colOff>631657</xdr:colOff>
      <xdr:row>12</xdr:row>
      <xdr:rowOff>5487</xdr:rowOff>
    </xdr:from>
    <xdr:to>
      <xdr:col>10</xdr:col>
      <xdr:colOff>244519</xdr:colOff>
      <xdr:row>14</xdr:row>
      <xdr:rowOff>90237</xdr:rowOff>
    </xdr:to>
    <xdr:pic>
      <xdr:nvPicPr>
        <xdr:cNvPr id="30" name="Imagen 29">
          <a:hlinkClick xmlns:r="http://schemas.openxmlformats.org/officeDocument/2006/relationships" r:id="rId10"/>
          <a:extLst>
            <a:ext uri="{FF2B5EF4-FFF2-40B4-BE49-F238E27FC236}">
              <a16:creationId xmlns:a16="http://schemas.microsoft.com/office/drawing/2014/main" id="{0C0CC8E4-BC69-15B6-9646-2738B2EFE0C4}"/>
            </a:ext>
          </a:extLst>
        </xdr:cNvPr>
        <xdr:cNvPicPr>
          <a:picLocks noChangeAspect="1"/>
        </xdr:cNvPicPr>
      </xdr:nvPicPr>
      <xdr:blipFill>
        <a:blip xmlns:r="http://schemas.openxmlformats.org/officeDocument/2006/relationships" r:embed="rId11"/>
        <a:stretch>
          <a:fillRect/>
        </a:stretch>
      </xdr:blipFill>
      <xdr:spPr>
        <a:xfrm>
          <a:off x="6567236" y="2762724"/>
          <a:ext cx="1778546" cy="465750"/>
        </a:xfrm>
        <a:prstGeom prst="rect">
          <a:avLst/>
        </a:prstGeom>
      </xdr:spPr>
    </xdr:pic>
    <xdr:clientData/>
  </xdr:twoCellAnchor>
  <xdr:twoCellAnchor editAs="oneCell">
    <xdr:from>
      <xdr:col>10</xdr:col>
      <xdr:colOff>109535</xdr:colOff>
      <xdr:row>13</xdr:row>
      <xdr:rowOff>145067</xdr:rowOff>
    </xdr:from>
    <xdr:to>
      <xdr:col>12</xdr:col>
      <xdr:colOff>401054</xdr:colOff>
      <xdr:row>15</xdr:row>
      <xdr:rowOff>218610</xdr:rowOff>
    </xdr:to>
    <xdr:pic>
      <xdr:nvPicPr>
        <xdr:cNvPr id="31" name="Imagen 30">
          <a:hlinkClick xmlns:r="http://schemas.openxmlformats.org/officeDocument/2006/relationships" r:id="rId12"/>
          <a:extLst>
            <a:ext uri="{FF2B5EF4-FFF2-40B4-BE49-F238E27FC236}">
              <a16:creationId xmlns:a16="http://schemas.microsoft.com/office/drawing/2014/main" id="{92AC2C1B-5F8A-5BB7-99CC-6609426CA7B4}"/>
            </a:ext>
          </a:extLst>
        </xdr:cNvPr>
        <xdr:cNvPicPr>
          <a:picLocks noChangeAspect="1"/>
        </xdr:cNvPicPr>
      </xdr:nvPicPr>
      <xdr:blipFill>
        <a:blip xmlns:r="http://schemas.openxmlformats.org/officeDocument/2006/relationships" r:embed="rId13"/>
        <a:stretch>
          <a:fillRect/>
        </a:stretch>
      </xdr:blipFill>
      <xdr:spPr>
        <a:xfrm>
          <a:off x="8210798" y="3092804"/>
          <a:ext cx="1735309" cy="454543"/>
        </a:xfrm>
        <a:prstGeom prst="rect">
          <a:avLst/>
        </a:prstGeom>
      </xdr:spPr>
    </xdr:pic>
    <xdr:clientData/>
  </xdr:twoCellAnchor>
  <xdr:twoCellAnchor editAs="oneCell">
    <xdr:from>
      <xdr:col>8</xdr:col>
      <xdr:colOff>233685</xdr:colOff>
      <xdr:row>15</xdr:row>
      <xdr:rowOff>140369</xdr:rowOff>
    </xdr:from>
    <xdr:to>
      <xdr:col>10</xdr:col>
      <xdr:colOff>247558</xdr:colOff>
      <xdr:row>17</xdr:row>
      <xdr:rowOff>10027</xdr:rowOff>
    </xdr:to>
    <xdr:pic>
      <xdr:nvPicPr>
        <xdr:cNvPr id="35" name="Imagen 34">
          <a:hlinkClick xmlns:r="http://schemas.openxmlformats.org/officeDocument/2006/relationships" r:id="rId14"/>
          <a:extLst>
            <a:ext uri="{FF2B5EF4-FFF2-40B4-BE49-F238E27FC236}">
              <a16:creationId xmlns:a16="http://schemas.microsoft.com/office/drawing/2014/main" id="{B160F603-F9DD-5E1F-1ABA-876A88853AE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1159" y="3469106"/>
          <a:ext cx="1457662" cy="381000"/>
        </a:xfrm>
        <a:prstGeom prst="rect">
          <a:avLst/>
        </a:prstGeom>
      </xdr:spPr>
    </xdr:pic>
    <xdr:clientData/>
  </xdr:twoCellAnchor>
  <xdr:twoCellAnchor editAs="oneCell">
    <xdr:from>
      <xdr:col>8</xdr:col>
      <xdr:colOff>230605</xdr:colOff>
      <xdr:row>8</xdr:row>
      <xdr:rowOff>124288</xdr:rowOff>
    </xdr:from>
    <xdr:to>
      <xdr:col>10</xdr:col>
      <xdr:colOff>20053</xdr:colOff>
      <xdr:row>12</xdr:row>
      <xdr:rowOff>102769</xdr:rowOff>
    </xdr:to>
    <xdr:pic>
      <xdr:nvPicPr>
        <xdr:cNvPr id="12" name="Imagen 11">
          <a:hlinkClick xmlns:r="http://schemas.openxmlformats.org/officeDocument/2006/relationships" r:id="rId16"/>
          <a:extLst>
            <a:ext uri="{FF2B5EF4-FFF2-40B4-BE49-F238E27FC236}">
              <a16:creationId xmlns:a16="http://schemas.microsoft.com/office/drawing/2014/main" id="{8CEE5C3A-0C5A-4E60-BC2C-09A287F929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888079" y="2119525"/>
          <a:ext cx="1233237" cy="7404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87313</xdr:colOff>
      <xdr:row>1</xdr:row>
      <xdr:rowOff>19050</xdr:rowOff>
    </xdr:from>
    <xdr:to>
      <xdr:col>7</xdr:col>
      <xdr:colOff>239713</xdr:colOff>
      <xdr:row>4</xdr:row>
      <xdr:rowOff>6908</xdr:rowOff>
    </xdr:to>
    <xdr:pic>
      <xdr:nvPicPr>
        <xdr:cNvPr id="2" name="Imagen 4">
          <a:extLst>
            <a:ext uri="{FF2B5EF4-FFF2-40B4-BE49-F238E27FC236}">
              <a16:creationId xmlns:a16="http://schemas.microsoft.com/office/drawing/2014/main" id="{C9EC256A-DB6F-4832-A5C7-920A72533D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6313" y="225425"/>
          <a:ext cx="533400" cy="546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460375</xdr:colOff>
      <xdr:row>2</xdr:row>
      <xdr:rowOff>174625</xdr:rowOff>
    </xdr:from>
    <xdr:to>
      <xdr:col>2</xdr:col>
      <xdr:colOff>41275</xdr:colOff>
      <xdr:row>7</xdr:row>
      <xdr:rowOff>88900</xdr:rowOff>
    </xdr:to>
    <xdr:pic>
      <xdr:nvPicPr>
        <xdr:cNvPr id="3" name="Gráfico 2" descr="Escena suburbana">
          <a:hlinkClick xmlns:r="http://schemas.openxmlformats.org/officeDocument/2006/relationships" r:id="rId2"/>
          <a:extLst>
            <a:ext uri="{FF2B5EF4-FFF2-40B4-BE49-F238E27FC236}">
              <a16:creationId xmlns:a16="http://schemas.microsoft.com/office/drawing/2014/main" id="{AC2E177A-875D-4A57-A129-BCFB879CD9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0375" y="571500"/>
          <a:ext cx="914400"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100013</xdr:colOff>
      <xdr:row>1</xdr:row>
      <xdr:rowOff>19050</xdr:rowOff>
    </xdr:from>
    <xdr:to>
      <xdr:col>6</xdr:col>
      <xdr:colOff>252413</xdr:colOff>
      <xdr:row>4</xdr:row>
      <xdr:rowOff>6908</xdr:rowOff>
    </xdr:to>
    <xdr:pic>
      <xdr:nvPicPr>
        <xdr:cNvPr id="2" name="Imagen 4">
          <a:extLst>
            <a:ext uri="{FF2B5EF4-FFF2-40B4-BE49-F238E27FC236}">
              <a16:creationId xmlns:a16="http://schemas.microsoft.com/office/drawing/2014/main" id="{7FBAA5E0-89AF-4E19-B8BD-77A8F16D9C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7013" y="228600"/>
          <a:ext cx="533400" cy="546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269875</xdr:colOff>
      <xdr:row>2</xdr:row>
      <xdr:rowOff>95250</xdr:rowOff>
    </xdr:from>
    <xdr:to>
      <xdr:col>1</xdr:col>
      <xdr:colOff>422275</xdr:colOff>
      <xdr:row>7</xdr:row>
      <xdr:rowOff>34925</xdr:rowOff>
    </xdr:to>
    <xdr:pic>
      <xdr:nvPicPr>
        <xdr:cNvPr id="3" name="Gráfico 2" descr="Escena suburbana">
          <a:hlinkClick xmlns:r="http://schemas.openxmlformats.org/officeDocument/2006/relationships" r:id="rId2"/>
          <a:extLst>
            <a:ext uri="{FF2B5EF4-FFF2-40B4-BE49-F238E27FC236}">
              <a16:creationId xmlns:a16="http://schemas.microsoft.com/office/drawing/2014/main" id="{B215EECA-2602-46E7-BD53-16D06B6CA5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69875" y="492125"/>
          <a:ext cx="914400" cy="9080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792163</xdr:colOff>
      <xdr:row>1</xdr:row>
      <xdr:rowOff>28575</xdr:rowOff>
    </xdr:from>
    <xdr:to>
      <xdr:col>1</xdr:col>
      <xdr:colOff>1323974</xdr:colOff>
      <xdr:row>3</xdr:row>
      <xdr:rowOff>173554</xdr:rowOff>
    </xdr:to>
    <xdr:pic>
      <xdr:nvPicPr>
        <xdr:cNvPr id="2" name="Imagen 4">
          <a:extLst>
            <a:ext uri="{FF2B5EF4-FFF2-40B4-BE49-F238E27FC236}">
              <a16:creationId xmlns:a16="http://schemas.microsoft.com/office/drawing/2014/main" id="{7A116EE0-832D-42FF-A5BC-F679D3E626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138" y="123825"/>
          <a:ext cx="531811" cy="545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95250</xdr:rowOff>
    </xdr:from>
    <xdr:to>
      <xdr:col>0</xdr:col>
      <xdr:colOff>676275</xdr:colOff>
      <xdr:row>5</xdr:row>
      <xdr:rowOff>66675</xdr:rowOff>
    </xdr:to>
    <xdr:grpSp>
      <xdr:nvGrpSpPr>
        <xdr:cNvPr id="3" name="Google Shape;6703;p64">
          <a:hlinkClick xmlns:r="http://schemas.openxmlformats.org/officeDocument/2006/relationships" r:id="rId2"/>
          <a:extLst>
            <a:ext uri="{FF2B5EF4-FFF2-40B4-BE49-F238E27FC236}">
              <a16:creationId xmlns:a16="http://schemas.microsoft.com/office/drawing/2014/main" id="{A9FAA5E6-A202-4E28-876A-E71E3D293F7D}"/>
            </a:ext>
          </a:extLst>
        </xdr:cNvPr>
        <xdr:cNvGrpSpPr/>
      </xdr:nvGrpSpPr>
      <xdr:grpSpPr>
        <a:xfrm>
          <a:off x="0" y="190500"/>
          <a:ext cx="676275" cy="771525"/>
          <a:chOff x="2508373" y="2779889"/>
          <a:chExt cx="337523" cy="337680"/>
        </a:xfrm>
      </xdr:grpSpPr>
      <xdr:sp macro="" textlink="">
        <xdr:nvSpPr>
          <xdr:cNvPr id="4" name="Google Shape;6704;p64">
            <a:extLst>
              <a:ext uri="{FF2B5EF4-FFF2-40B4-BE49-F238E27FC236}">
                <a16:creationId xmlns:a16="http://schemas.microsoft.com/office/drawing/2014/main" id="{38E993DD-8DD4-4BB8-BFD1-6897219496B3}"/>
              </a:ext>
            </a:extLst>
          </xdr:cNvPr>
          <xdr:cNvSpPr/>
        </xdr:nvSpPr>
        <xdr:spPr>
          <a:xfrm>
            <a:off x="2508373" y="2779889"/>
            <a:ext cx="256971" cy="256971"/>
          </a:xfrm>
          <a:custGeom>
            <a:avLst/>
            <a:gdLst/>
            <a:ahLst/>
            <a:cxnLst/>
            <a:rect l="l" t="t" r="r" b="b"/>
            <a:pathLst>
              <a:path w="9781" h="9781" extrusionOk="0">
                <a:moveTo>
                  <a:pt x="4585" y="0"/>
                </a:moveTo>
                <a:cubicBezTo>
                  <a:pt x="4377" y="0"/>
                  <a:pt x="4190" y="153"/>
                  <a:pt x="4155" y="354"/>
                </a:cubicBezTo>
                <a:lnTo>
                  <a:pt x="3933" y="1464"/>
                </a:lnTo>
                <a:cubicBezTo>
                  <a:pt x="3656" y="1540"/>
                  <a:pt x="3392" y="1651"/>
                  <a:pt x="3149" y="1790"/>
                </a:cubicBezTo>
                <a:lnTo>
                  <a:pt x="2213" y="1165"/>
                </a:lnTo>
                <a:cubicBezTo>
                  <a:pt x="2138" y="1116"/>
                  <a:pt x="2053" y="1092"/>
                  <a:pt x="1969" y="1092"/>
                </a:cubicBezTo>
                <a:cubicBezTo>
                  <a:pt x="1852" y="1092"/>
                  <a:pt x="1736" y="1139"/>
                  <a:pt x="1651" y="1228"/>
                </a:cubicBezTo>
                <a:lnTo>
                  <a:pt x="1221" y="1658"/>
                </a:lnTo>
                <a:cubicBezTo>
                  <a:pt x="1068" y="1803"/>
                  <a:pt x="1048" y="2039"/>
                  <a:pt x="1166" y="2220"/>
                </a:cubicBezTo>
                <a:lnTo>
                  <a:pt x="1790" y="3156"/>
                </a:lnTo>
                <a:cubicBezTo>
                  <a:pt x="1651" y="3399"/>
                  <a:pt x="1547" y="3662"/>
                  <a:pt x="1471" y="3940"/>
                </a:cubicBezTo>
                <a:lnTo>
                  <a:pt x="361" y="4162"/>
                </a:lnTo>
                <a:cubicBezTo>
                  <a:pt x="153" y="4196"/>
                  <a:pt x="7" y="4384"/>
                  <a:pt x="0" y="4592"/>
                </a:cubicBezTo>
                <a:lnTo>
                  <a:pt x="0" y="5202"/>
                </a:lnTo>
                <a:cubicBezTo>
                  <a:pt x="7" y="5410"/>
                  <a:pt x="153" y="5591"/>
                  <a:pt x="361" y="5632"/>
                </a:cubicBezTo>
                <a:lnTo>
                  <a:pt x="1471" y="5854"/>
                </a:lnTo>
                <a:cubicBezTo>
                  <a:pt x="1547" y="6125"/>
                  <a:pt x="1651" y="6388"/>
                  <a:pt x="1790" y="6638"/>
                </a:cubicBezTo>
                <a:lnTo>
                  <a:pt x="1166" y="7574"/>
                </a:lnTo>
                <a:cubicBezTo>
                  <a:pt x="1048" y="7748"/>
                  <a:pt x="1068" y="7984"/>
                  <a:pt x="1221" y="8136"/>
                </a:cubicBezTo>
                <a:lnTo>
                  <a:pt x="1651" y="8566"/>
                </a:lnTo>
                <a:cubicBezTo>
                  <a:pt x="1735" y="8650"/>
                  <a:pt x="1848" y="8692"/>
                  <a:pt x="1964" y="8692"/>
                </a:cubicBezTo>
                <a:cubicBezTo>
                  <a:pt x="2049" y="8692"/>
                  <a:pt x="2136" y="8669"/>
                  <a:pt x="2213" y="8622"/>
                </a:cubicBezTo>
                <a:lnTo>
                  <a:pt x="3156" y="7990"/>
                </a:lnTo>
                <a:cubicBezTo>
                  <a:pt x="3399" y="8129"/>
                  <a:pt x="3663" y="8233"/>
                  <a:pt x="3933" y="8310"/>
                </a:cubicBezTo>
                <a:lnTo>
                  <a:pt x="4155" y="9419"/>
                </a:lnTo>
                <a:cubicBezTo>
                  <a:pt x="4197" y="9627"/>
                  <a:pt x="4377" y="9773"/>
                  <a:pt x="4592" y="9780"/>
                </a:cubicBezTo>
                <a:lnTo>
                  <a:pt x="5195" y="9780"/>
                </a:lnTo>
                <a:cubicBezTo>
                  <a:pt x="5404" y="9773"/>
                  <a:pt x="5591" y="9627"/>
                  <a:pt x="5632" y="9419"/>
                </a:cubicBezTo>
                <a:lnTo>
                  <a:pt x="5854" y="8310"/>
                </a:lnTo>
                <a:cubicBezTo>
                  <a:pt x="6125" y="8233"/>
                  <a:pt x="6389" y="8129"/>
                  <a:pt x="6631" y="7990"/>
                </a:cubicBezTo>
                <a:lnTo>
                  <a:pt x="7568" y="8615"/>
                </a:lnTo>
                <a:cubicBezTo>
                  <a:pt x="7644" y="8664"/>
                  <a:pt x="7730" y="8688"/>
                  <a:pt x="7814" y="8688"/>
                </a:cubicBezTo>
                <a:cubicBezTo>
                  <a:pt x="7931" y="8688"/>
                  <a:pt x="8045" y="8643"/>
                  <a:pt x="8129" y="8559"/>
                </a:cubicBezTo>
                <a:lnTo>
                  <a:pt x="8560" y="8129"/>
                </a:lnTo>
                <a:cubicBezTo>
                  <a:pt x="8712" y="7984"/>
                  <a:pt x="8733" y="7748"/>
                  <a:pt x="8615" y="7567"/>
                </a:cubicBezTo>
                <a:lnTo>
                  <a:pt x="7991" y="6631"/>
                </a:lnTo>
                <a:cubicBezTo>
                  <a:pt x="8129" y="6381"/>
                  <a:pt x="8234" y="6118"/>
                  <a:pt x="8310" y="5847"/>
                </a:cubicBezTo>
                <a:lnTo>
                  <a:pt x="9420" y="5625"/>
                </a:lnTo>
                <a:cubicBezTo>
                  <a:pt x="9628" y="5584"/>
                  <a:pt x="9773" y="5403"/>
                  <a:pt x="9780" y="5195"/>
                </a:cubicBezTo>
                <a:lnTo>
                  <a:pt x="9780" y="4585"/>
                </a:lnTo>
                <a:cubicBezTo>
                  <a:pt x="9780" y="4377"/>
                  <a:pt x="9628" y="4189"/>
                  <a:pt x="9420" y="4148"/>
                </a:cubicBezTo>
                <a:lnTo>
                  <a:pt x="8310" y="3926"/>
                </a:lnTo>
                <a:cubicBezTo>
                  <a:pt x="8234" y="3655"/>
                  <a:pt x="8129" y="3392"/>
                  <a:pt x="7991" y="3149"/>
                </a:cubicBezTo>
                <a:lnTo>
                  <a:pt x="8615" y="2206"/>
                </a:lnTo>
                <a:cubicBezTo>
                  <a:pt x="8733" y="2032"/>
                  <a:pt x="8712" y="1796"/>
                  <a:pt x="8560" y="1644"/>
                </a:cubicBezTo>
                <a:lnTo>
                  <a:pt x="8129" y="1221"/>
                </a:lnTo>
                <a:cubicBezTo>
                  <a:pt x="8046" y="1134"/>
                  <a:pt x="7934" y="1090"/>
                  <a:pt x="7821" y="1090"/>
                </a:cubicBezTo>
                <a:cubicBezTo>
                  <a:pt x="7735" y="1090"/>
                  <a:pt x="7649" y="1115"/>
                  <a:pt x="7575" y="1165"/>
                </a:cubicBezTo>
                <a:lnTo>
                  <a:pt x="6631" y="1790"/>
                </a:lnTo>
                <a:cubicBezTo>
                  <a:pt x="6389" y="1651"/>
                  <a:pt x="6125" y="1540"/>
                  <a:pt x="5854" y="1464"/>
                </a:cubicBezTo>
                <a:lnTo>
                  <a:pt x="5626" y="354"/>
                </a:lnTo>
                <a:cubicBezTo>
                  <a:pt x="5584" y="153"/>
                  <a:pt x="5404" y="0"/>
                  <a:pt x="5195" y="0"/>
                </a:cubicBezTo>
                <a:close/>
              </a:path>
            </a:pathLst>
          </a:custGeom>
          <a:solidFill>
            <a:srgbClr val="287840"/>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5" name="Google Shape;6705;p64">
            <a:extLst>
              <a:ext uri="{FF2B5EF4-FFF2-40B4-BE49-F238E27FC236}">
                <a16:creationId xmlns:a16="http://schemas.microsoft.com/office/drawing/2014/main" id="{7CE847CD-5FCA-4405-BB52-E6893161F724}"/>
              </a:ext>
            </a:extLst>
          </xdr:cNvPr>
          <xdr:cNvSpPr/>
        </xdr:nvSpPr>
        <xdr:spPr>
          <a:xfrm>
            <a:off x="2561391" y="2852034"/>
            <a:ext cx="131783" cy="112814"/>
          </a:xfrm>
          <a:custGeom>
            <a:avLst/>
            <a:gdLst/>
            <a:ahLst/>
            <a:cxnLst/>
            <a:rect l="l" t="t" r="r" b="b"/>
            <a:pathLst>
              <a:path w="5016" h="4294" extrusionOk="0">
                <a:moveTo>
                  <a:pt x="2872" y="1"/>
                </a:moveTo>
                <a:cubicBezTo>
                  <a:pt x="958" y="1"/>
                  <a:pt x="1" y="2310"/>
                  <a:pt x="1353" y="3663"/>
                </a:cubicBezTo>
                <a:cubicBezTo>
                  <a:pt x="1791" y="4098"/>
                  <a:pt x="2328" y="4293"/>
                  <a:pt x="2855" y="4293"/>
                </a:cubicBezTo>
                <a:cubicBezTo>
                  <a:pt x="3958" y="4293"/>
                  <a:pt x="5016" y="3439"/>
                  <a:pt x="5016" y="2144"/>
                </a:cubicBezTo>
                <a:cubicBezTo>
                  <a:pt x="5016" y="958"/>
                  <a:pt x="4058" y="1"/>
                  <a:pt x="2872" y="1"/>
                </a:cubicBezTo>
                <a:close/>
              </a:path>
            </a:pathLst>
          </a:custGeom>
          <a:solidFill>
            <a:srgbClr val="DEE5EB"/>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6" name="Google Shape;6706;p64">
            <a:extLst>
              <a:ext uri="{FF2B5EF4-FFF2-40B4-BE49-F238E27FC236}">
                <a16:creationId xmlns:a16="http://schemas.microsoft.com/office/drawing/2014/main" id="{1947E24B-2236-4B10-B0A4-19ABD26BF976}"/>
              </a:ext>
            </a:extLst>
          </xdr:cNvPr>
          <xdr:cNvSpPr/>
        </xdr:nvSpPr>
        <xdr:spPr>
          <a:xfrm>
            <a:off x="2599302" y="2880277"/>
            <a:ext cx="65629" cy="56223"/>
          </a:xfrm>
          <a:custGeom>
            <a:avLst/>
            <a:gdLst/>
            <a:ahLst/>
            <a:cxnLst/>
            <a:rect l="l" t="t" r="r" b="b"/>
            <a:pathLst>
              <a:path w="2498" h="2140" extrusionOk="0">
                <a:moveTo>
                  <a:pt x="1429" y="1"/>
                </a:moveTo>
                <a:cubicBezTo>
                  <a:pt x="479" y="1"/>
                  <a:pt x="0" y="1152"/>
                  <a:pt x="673" y="1825"/>
                </a:cubicBezTo>
                <a:cubicBezTo>
                  <a:pt x="891" y="2042"/>
                  <a:pt x="1158" y="2140"/>
                  <a:pt x="1420" y="2140"/>
                </a:cubicBezTo>
                <a:cubicBezTo>
                  <a:pt x="1970" y="2140"/>
                  <a:pt x="2497" y="1712"/>
                  <a:pt x="2497" y="1069"/>
                </a:cubicBezTo>
                <a:cubicBezTo>
                  <a:pt x="2497" y="479"/>
                  <a:pt x="2019" y="1"/>
                  <a:pt x="1429" y="1"/>
                </a:cubicBezTo>
                <a:close/>
              </a:path>
            </a:pathLst>
          </a:custGeom>
          <a:solidFill>
            <a:srgbClr val="287840"/>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7" name="Google Shape;6707;p64">
            <a:extLst>
              <a:ext uri="{FF2B5EF4-FFF2-40B4-BE49-F238E27FC236}">
                <a16:creationId xmlns:a16="http://schemas.microsoft.com/office/drawing/2014/main" id="{DD835CD5-BE0C-4FE1-976F-DD597D594F0C}"/>
              </a:ext>
            </a:extLst>
          </xdr:cNvPr>
          <xdr:cNvSpPr/>
        </xdr:nvSpPr>
        <xdr:spPr>
          <a:xfrm>
            <a:off x="2677121" y="2948611"/>
            <a:ext cx="168775" cy="168958"/>
          </a:xfrm>
          <a:custGeom>
            <a:avLst/>
            <a:gdLst/>
            <a:ahLst/>
            <a:cxnLst/>
            <a:rect l="l" t="t" r="r" b="b"/>
            <a:pathLst>
              <a:path w="6424" h="6431" extrusionOk="0">
                <a:moveTo>
                  <a:pt x="3017" y="1"/>
                </a:moveTo>
                <a:cubicBezTo>
                  <a:pt x="2879" y="1"/>
                  <a:pt x="2754" y="98"/>
                  <a:pt x="2733" y="237"/>
                </a:cubicBezTo>
                <a:lnTo>
                  <a:pt x="2587" y="965"/>
                </a:lnTo>
                <a:cubicBezTo>
                  <a:pt x="2407" y="1014"/>
                  <a:pt x="2234" y="1090"/>
                  <a:pt x="2067" y="1180"/>
                </a:cubicBezTo>
                <a:lnTo>
                  <a:pt x="1450" y="764"/>
                </a:lnTo>
                <a:cubicBezTo>
                  <a:pt x="1404" y="733"/>
                  <a:pt x="1350" y="718"/>
                  <a:pt x="1296" y="718"/>
                </a:cubicBezTo>
                <a:cubicBezTo>
                  <a:pt x="1218" y="718"/>
                  <a:pt x="1139" y="748"/>
                  <a:pt x="1082" y="805"/>
                </a:cubicBezTo>
                <a:lnTo>
                  <a:pt x="805" y="1083"/>
                </a:lnTo>
                <a:cubicBezTo>
                  <a:pt x="701" y="1180"/>
                  <a:pt x="687" y="1340"/>
                  <a:pt x="763" y="1451"/>
                </a:cubicBezTo>
                <a:lnTo>
                  <a:pt x="1179" y="2068"/>
                </a:lnTo>
                <a:cubicBezTo>
                  <a:pt x="1089" y="2234"/>
                  <a:pt x="1013" y="2408"/>
                  <a:pt x="964" y="2588"/>
                </a:cubicBezTo>
                <a:lnTo>
                  <a:pt x="236" y="2734"/>
                </a:lnTo>
                <a:cubicBezTo>
                  <a:pt x="97" y="2761"/>
                  <a:pt x="0" y="2879"/>
                  <a:pt x="0" y="3018"/>
                </a:cubicBezTo>
                <a:lnTo>
                  <a:pt x="0" y="3413"/>
                </a:lnTo>
                <a:cubicBezTo>
                  <a:pt x="0" y="3552"/>
                  <a:pt x="97" y="3670"/>
                  <a:pt x="236" y="3698"/>
                </a:cubicBezTo>
                <a:lnTo>
                  <a:pt x="964" y="3844"/>
                </a:lnTo>
                <a:cubicBezTo>
                  <a:pt x="1013" y="4024"/>
                  <a:pt x="1089" y="4197"/>
                  <a:pt x="1179" y="4364"/>
                </a:cubicBezTo>
                <a:lnTo>
                  <a:pt x="763" y="4981"/>
                </a:lnTo>
                <a:cubicBezTo>
                  <a:pt x="687" y="5092"/>
                  <a:pt x="701" y="5252"/>
                  <a:pt x="805" y="5349"/>
                </a:cubicBezTo>
                <a:lnTo>
                  <a:pt x="1082" y="5626"/>
                </a:lnTo>
                <a:cubicBezTo>
                  <a:pt x="1139" y="5683"/>
                  <a:pt x="1218" y="5714"/>
                  <a:pt x="1296" y="5714"/>
                </a:cubicBezTo>
                <a:cubicBezTo>
                  <a:pt x="1350" y="5714"/>
                  <a:pt x="1404" y="5699"/>
                  <a:pt x="1450" y="5668"/>
                </a:cubicBezTo>
                <a:lnTo>
                  <a:pt x="2067" y="5252"/>
                </a:lnTo>
                <a:cubicBezTo>
                  <a:pt x="2234" y="5342"/>
                  <a:pt x="2407" y="5418"/>
                  <a:pt x="2587" y="5467"/>
                </a:cubicBezTo>
                <a:lnTo>
                  <a:pt x="2733" y="6195"/>
                </a:lnTo>
                <a:cubicBezTo>
                  <a:pt x="2754" y="6334"/>
                  <a:pt x="2879" y="6431"/>
                  <a:pt x="3017" y="6431"/>
                </a:cubicBezTo>
                <a:lnTo>
                  <a:pt x="3413" y="6431"/>
                </a:lnTo>
                <a:cubicBezTo>
                  <a:pt x="3552" y="6431"/>
                  <a:pt x="3669" y="6334"/>
                  <a:pt x="3697" y="6195"/>
                </a:cubicBezTo>
                <a:lnTo>
                  <a:pt x="3843" y="5467"/>
                </a:lnTo>
                <a:cubicBezTo>
                  <a:pt x="4023" y="5418"/>
                  <a:pt x="4197" y="5342"/>
                  <a:pt x="4356" y="5252"/>
                </a:cubicBezTo>
                <a:lnTo>
                  <a:pt x="4980" y="5668"/>
                </a:lnTo>
                <a:cubicBezTo>
                  <a:pt x="5027" y="5697"/>
                  <a:pt x="5080" y="5711"/>
                  <a:pt x="5134" y="5711"/>
                </a:cubicBezTo>
                <a:cubicBezTo>
                  <a:pt x="5209" y="5711"/>
                  <a:pt x="5284" y="5683"/>
                  <a:pt x="5341" y="5626"/>
                </a:cubicBezTo>
                <a:lnTo>
                  <a:pt x="5625" y="5342"/>
                </a:lnTo>
                <a:cubicBezTo>
                  <a:pt x="5723" y="5245"/>
                  <a:pt x="5736" y="5092"/>
                  <a:pt x="5660" y="4974"/>
                </a:cubicBezTo>
                <a:lnTo>
                  <a:pt x="5251" y="4357"/>
                </a:lnTo>
                <a:cubicBezTo>
                  <a:pt x="5341" y="4190"/>
                  <a:pt x="5410" y="4024"/>
                  <a:pt x="5466" y="3844"/>
                </a:cubicBezTo>
                <a:lnTo>
                  <a:pt x="6194" y="3698"/>
                </a:lnTo>
                <a:cubicBezTo>
                  <a:pt x="6326" y="3670"/>
                  <a:pt x="6423" y="3552"/>
                  <a:pt x="6423" y="3413"/>
                </a:cubicBezTo>
                <a:lnTo>
                  <a:pt x="6423" y="3018"/>
                </a:lnTo>
                <a:cubicBezTo>
                  <a:pt x="6423" y="2879"/>
                  <a:pt x="6333" y="2761"/>
                  <a:pt x="6194" y="2734"/>
                </a:cubicBezTo>
                <a:lnTo>
                  <a:pt x="5466" y="2588"/>
                </a:lnTo>
                <a:cubicBezTo>
                  <a:pt x="5417" y="2408"/>
                  <a:pt x="5348" y="2234"/>
                  <a:pt x="5251" y="2068"/>
                </a:cubicBezTo>
                <a:lnTo>
                  <a:pt x="5667" y="1451"/>
                </a:lnTo>
                <a:cubicBezTo>
                  <a:pt x="5743" y="1340"/>
                  <a:pt x="5729" y="1180"/>
                  <a:pt x="5632" y="1083"/>
                </a:cubicBezTo>
                <a:lnTo>
                  <a:pt x="5348" y="805"/>
                </a:lnTo>
                <a:cubicBezTo>
                  <a:pt x="5291" y="748"/>
                  <a:pt x="5214" y="718"/>
                  <a:pt x="5137" y="718"/>
                </a:cubicBezTo>
                <a:cubicBezTo>
                  <a:pt x="5083" y="718"/>
                  <a:pt x="5029" y="733"/>
                  <a:pt x="4980" y="764"/>
                </a:cubicBezTo>
                <a:lnTo>
                  <a:pt x="4363" y="1180"/>
                </a:lnTo>
                <a:cubicBezTo>
                  <a:pt x="4197" y="1090"/>
                  <a:pt x="4030" y="1014"/>
                  <a:pt x="3850" y="965"/>
                </a:cubicBezTo>
                <a:lnTo>
                  <a:pt x="3704" y="237"/>
                </a:lnTo>
                <a:cubicBezTo>
                  <a:pt x="3676" y="98"/>
                  <a:pt x="3558" y="1"/>
                  <a:pt x="3420" y="1"/>
                </a:cubicBezTo>
                <a:close/>
              </a:path>
            </a:pathLst>
          </a:custGeom>
          <a:solidFill>
            <a:srgbClr val="445D73"/>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8" name="Google Shape;6708;p64">
            <a:extLst>
              <a:ext uri="{FF2B5EF4-FFF2-40B4-BE49-F238E27FC236}">
                <a16:creationId xmlns:a16="http://schemas.microsoft.com/office/drawing/2014/main" id="{E6B00809-D949-41E4-9F22-19E36042DF88}"/>
              </a:ext>
            </a:extLst>
          </xdr:cNvPr>
          <xdr:cNvSpPr/>
        </xdr:nvSpPr>
        <xdr:spPr>
          <a:xfrm>
            <a:off x="2705180" y="2990910"/>
            <a:ext cx="98601" cy="84466"/>
          </a:xfrm>
          <a:custGeom>
            <a:avLst/>
            <a:gdLst/>
            <a:ahLst/>
            <a:cxnLst/>
            <a:rect l="l" t="t" r="r" b="b"/>
            <a:pathLst>
              <a:path w="3753" h="3215" extrusionOk="0">
                <a:moveTo>
                  <a:pt x="2144" y="0"/>
                </a:moveTo>
                <a:cubicBezTo>
                  <a:pt x="715" y="0"/>
                  <a:pt x="0" y="1727"/>
                  <a:pt x="1013" y="2740"/>
                </a:cubicBezTo>
                <a:cubicBezTo>
                  <a:pt x="1341" y="3068"/>
                  <a:pt x="1743" y="3215"/>
                  <a:pt x="2138" y="3215"/>
                </a:cubicBezTo>
                <a:cubicBezTo>
                  <a:pt x="2963" y="3215"/>
                  <a:pt x="3753" y="2573"/>
                  <a:pt x="3753" y="1602"/>
                </a:cubicBezTo>
                <a:cubicBezTo>
                  <a:pt x="3753" y="721"/>
                  <a:pt x="3031" y="0"/>
                  <a:pt x="2144" y="0"/>
                </a:cubicBezTo>
                <a:close/>
              </a:path>
            </a:pathLst>
          </a:custGeom>
          <a:solidFill>
            <a:srgbClr val="BAC2CA"/>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sp macro="" textlink="">
        <xdr:nvSpPr>
          <xdr:cNvPr id="9" name="Google Shape;6709;p64">
            <a:extLst>
              <a:ext uri="{FF2B5EF4-FFF2-40B4-BE49-F238E27FC236}">
                <a16:creationId xmlns:a16="http://schemas.microsoft.com/office/drawing/2014/main" id="{FE1B5E96-0894-4403-A969-355EA50B80B2}"/>
              </a:ext>
            </a:extLst>
          </xdr:cNvPr>
          <xdr:cNvSpPr/>
        </xdr:nvSpPr>
        <xdr:spPr>
          <a:xfrm>
            <a:off x="2727774" y="3007856"/>
            <a:ext cx="59061" cy="50601"/>
          </a:xfrm>
          <a:custGeom>
            <a:avLst/>
            <a:gdLst/>
            <a:ahLst/>
            <a:cxnLst/>
            <a:rect l="l" t="t" r="r" b="b"/>
            <a:pathLst>
              <a:path w="2248" h="1926" extrusionOk="0">
                <a:moveTo>
                  <a:pt x="1284" y="0"/>
                </a:moveTo>
                <a:cubicBezTo>
                  <a:pt x="430" y="0"/>
                  <a:pt x="0" y="1034"/>
                  <a:pt x="604" y="1644"/>
                </a:cubicBezTo>
                <a:cubicBezTo>
                  <a:pt x="801" y="1839"/>
                  <a:pt x="1041" y="1926"/>
                  <a:pt x="1277" y="1926"/>
                </a:cubicBezTo>
                <a:cubicBezTo>
                  <a:pt x="1773" y="1926"/>
                  <a:pt x="2248" y="1540"/>
                  <a:pt x="2248" y="957"/>
                </a:cubicBezTo>
                <a:cubicBezTo>
                  <a:pt x="2248" y="430"/>
                  <a:pt x="1818" y="0"/>
                  <a:pt x="1284" y="0"/>
                </a:cubicBezTo>
                <a:close/>
              </a:path>
            </a:pathLst>
          </a:custGeom>
          <a:solidFill>
            <a:schemeClr val="bg1">
              <a:lumMod val="50000"/>
            </a:schemeClr>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866775</xdr:colOff>
      <xdr:row>0</xdr:row>
      <xdr:rowOff>66675</xdr:rowOff>
    </xdr:from>
    <xdr:to>
      <xdr:col>1</xdr:col>
      <xdr:colOff>1400175</xdr:colOff>
      <xdr:row>3</xdr:row>
      <xdr:rowOff>156133</xdr:rowOff>
    </xdr:to>
    <xdr:pic>
      <xdr:nvPicPr>
        <xdr:cNvPr id="2" name="Imagen 4">
          <a:extLst>
            <a:ext uri="{FF2B5EF4-FFF2-40B4-BE49-F238E27FC236}">
              <a16:creationId xmlns:a16="http://schemas.microsoft.com/office/drawing/2014/main" id="{D0C39065-34D1-428B-8040-82A4986F52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66675"/>
          <a:ext cx="533400" cy="546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458788</xdr:colOff>
      <xdr:row>1</xdr:row>
      <xdr:rowOff>38100</xdr:rowOff>
    </xdr:from>
    <xdr:to>
      <xdr:col>2</xdr:col>
      <xdr:colOff>342899</xdr:colOff>
      <xdr:row>3</xdr:row>
      <xdr:rowOff>87829</xdr:rowOff>
    </xdr:to>
    <xdr:pic>
      <xdr:nvPicPr>
        <xdr:cNvPr id="2" name="Imagen 4">
          <a:extLst>
            <a:ext uri="{FF2B5EF4-FFF2-40B4-BE49-F238E27FC236}">
              <a16:creationId xmlns:a16="http://schemas.microsoft.com/office/drawing/2014/main" id="{3C1CD76F-FE75-4CE9-BCB2-B45BD421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788" y="238125"/>
          <a:ext cx="531811" cy="545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952500</xdr:colOff>
      <xdr:row>4</xdr:row>
      <xdr:rowOff>85725</xdr:rowOff>
    </xdr:to>
    <xdr:pic>
      <xdr:nvPicPr>
        <xdr:cNvPr id="3" name="Gráfico 2" descr="Escena suburbana">
          <a:hlinkClick xmlns:r="http://schemas.openxmlformats.org/officeDocument/2006/relationships" r:id="rId2"/>
          <a:extLst>
            <a:ext uri="{FF2B5EF4-FFF2-40B4-BE49-F238E27FC236}">
              <a16:creationId xmlns:a16="http://schemas.microsoft.com/office/drawing/2014/main" id="{2EC4FEF1-A890-48AB-8460-EBD7D26D13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100" y="114300"/>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718910</xdr:colOff>
      <xdr:row>0</xdr:row>
      <xdr:rowOff>0</xdr:rowOff>
    </xdr:from>
    <xdr:ext cx="909864" cy="992694"/>
    <xdr:pic>
      <xdr:nvPicPr>
        <xdr:cNvPr id="2" name="Imagen 1">
          <a:extLst>
            <a:ext uri="{FF2B5EF4-FFF2-40B4-BE49-F238E27FC236}">
              <a16:creationId xmlns:a16="http://schemas.microsoft.com/office/drawing/2014/main" id="{3692C957-8510-4F16-A862-7482BB4BC7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1035" y="0"/>
          <a:ext cx="909864" cy="99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141968</xdr:colOff>
      <xdr:row>11</xdr:row>
      <xdr:rowOff>101146</xdr:rowOff>
    </xdr:from>
    <xdr:ext cx="920750" cy="927553"/>
    <xdr:pic>
      <xdr:nvPicPr>
        <xdr:cNvPr id="3" name="Gráfico 2" descr="Escena suburbana">
          <a:hlinkClick xmlns:r="http://schemas.openxmlformats.org/officeDocument/2006/relationships" r:id="rId2"/>
          <a:extLst>
            <a:ext uri="{FF2B5EF4-FFF2-40B4-BE49-F238E27FC236}">
              <a16:creationId xmlns:a16="http://schemas.microsoft.com/office/drawing/2014/main" id="{30D8F62C-193A-4F56-954D-E2383C53FF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1968" y="3784146"/>
          <a:ext cx="920750" cy="92755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83910</xdr:colOff>
      <xdr:row>1</xdr:row>
      <xdr:rowOff>3175</xdr:rowOff>
    </xdr:from>
    <xdr:to>
      <xdr:col>6</xdr:col>
      <xdr:colOff>111125</xdr:colOff>
      <xdr:row>3</xdr:row>
      <xdr:rowOff>210850</xdr:rowOff>
    </xdr:to>
    <xdr:pic>
      <xdr:nvPicPr>
        <xdr:cNvPr id="2" name="Imagen 1">
          <a:extLst>
            <a:ext uri="{FF2B5EF4-FFF2-40B4-BE49-F238E27FC236}">
              <a16:creationId xmlns:a16="http://schemas.microsoft.com/office/drawing/2014/main" id="{83B1026A-17BB-4A1D-8E33-A80CDD2894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7550" y="216535"/>
          <a:ext cx="850175" cy="71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110451</xdr:colOff>
      <xdr:row>7</xdr:row>
      <xdr:rowOff>145363</xdr:rowOff>
    </xdr:from>
    <xdr:to>
      <xdr:col>2</xdr:col>
      <xdr:colOff>167369</xdr:colOff>
      <xdr:row>10</xdr:row>
      <xdr:rowOff>61796</xdr:rowOff>
    </xdr:to>
    <xdr:pic>
      <xdr:nvPicPr>
        <xdr:cNvPr id="3" name="Gráfico 2" descr="Escena suburbana">
          <a:hlinkClick xmlns:r="http://schemas.openxmlformats.org/officeDocument/2006/relationships" r:id="rId2"/>
          <a:extLst>
            <a:ext uri="{FF2B5EF4-FFF2-40B4-BE49-F238E27FC236}">
              <a16:creationId xmlns:a16="http://schemas.microsoft.com/office/drawing/2014/main" id="{A32E2451-F34B-4482-B851-5AB2C2098E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0451" y="1844623"/>
          <a:ext cx="940838" cy="9070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428926</xdr:colOff>
      <xdr:row>1</xdr:row>
      <xdr:rowOff>28349</xdr:rowOff>
    </xdr:from>
    <xdr:to>
      <xdr:col>6</xdr:col>
      <xdr:colOff>31749</xdr:colOff>
      <xdr:row>4</xdr:row>
      <xdr:rowOff>40650</xdr:rowOff>
    </xdr:to>
    <xdr:pic>
      <xdr:nvPicPr>
        <xdr:cNvPr id="5" name="Imagen 4">
          <a:extLst>
            <a:ext uri="{FF2B5EF4-FFF2-40B4-BE49-F238E27FC236}">
              <a16:creationId xmlns:a16="http://schemas.microsoft.com/office/drawing/2014/main" id="{0D1958C4-CB10-460E-8F44-8A89D81070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2259" y="218849"/>
          <a:ext cx="534157" cy="552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92103</xdr:rowOff>
    </xdr:from>
    <xdr:to>
      <xdr:col>2</xdr:col>
      <xdr:colOff>331561</xdr:colOff>
      <xdr:row>9</xdr:row>
      <xdr:rowOff>259292</xdr:rowOff>
    </xdr:to>
    <xdr:pic>
      <xdr:nvPicPr>
        <xdr:cNvPr id="6" name="Gráfico 5" descr="Escena suburbana">
          <a:hlinkClick xmlns:r="http://schemas.openxmlformats.org/officeDocument/2006/relationships" r:id="rId2"/>
          <a:extLst>
            <a:ext uri="{FF2B5EF4-FFF2-40B4-BE49-F238E27FC236}">
              <a16:creationId xmlns:a16="http://schemas.microsoft.com/office/drawing/2014/main" id="{2A21950B-AED9-4C7D-A227-4B209EC561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4300" y="1901853"/>
          <a:ext cx="1220561" cy="12223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210910</xdr:colOff>
      <xdr:row>1</xdr:row>
      <xdr:rowOff>73328</xdr:rowOff>
    </xdr:from>
    <xdr:to>
      <xdr:col>5</xdr:col>
      <xdr:colOff>1119187</xdr:colOff>
      <xdr:row>3</xdr:row>
      <xdr:rowOff>285750</xdr:rowOff>
    </xdr:to>
    <xdr:pic>
      <xdr:nvPicPr>
        <xdr:cNvPr id="2" name="Imagen 1">
          <a:extLst>
            <a:ext uri="{FF2B5EF4-FFF2-40B4-BE49-F238E27FC236}">
              <a16:creationId xmlns:a16="http://schemas.microsoft.com/office/drawing/2014/main" id="{02D6949C-A938-4858-BBEB-F8C1358FC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7879" y="263828"/>
          <a:ext cx="908277" cy="926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130969</xdr:colOff>
      <xdr:row>3</xdr:row>
      <xdr:rowOff>17009</xdr:rowOff>
    </xdr:from>
    <xdr:to>
      <xdr:col>2</xdr:col>
      <xdr:colOff>83344</xdr:colOff>
      <xdr:row>6</xdr:row>
      <xdr:rowOff>61341</xdr:rowOff>
    </xdr:to>
    <xdr:pic>
      <xdr:nvPicPr>
        <xdr:cNvPr id="7" name="Gráfico 6" descr="Escena suburbana">
          <a:hlinkClick xmlns:r="http://schemas.openxmlformats.org/officeDocument/2006/relationships" r:id="rId2"/>
          <a:extLst>
            <a:ext uri="{FF2B5EF4-FFF2-40B4-BE49-F238E27FC236}">
              <a16:creationId xmlns:a16="http://schemas.microsoft.com/office/drawing/2014/main" id="{33B425B3-E764-423B-8AAA-B40AEEB21C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0969" y="921884"/>
          <a:ext cx="916781" cy="9253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972910</xdr:colOff>
      <xdr:row>1</xdr:row>
      <xdr:rowOff>49516</xdr:rowOff>
    </xdr:from>
    <xdr:ext cx="909864" cy="992694"/>
    <xdr:pic>
      <xdr:nvPicPr>
        <xdr:cNvPr id="2" name="Imagen 1">
          <a:extLst>
            <a:ext uri="{FF2B5EF4-FFF2-40B4-BE49-F238E27FC236}">
              <a16:creationId xmlns:a16="http://schemas.microsoft.com/office/drawing/2014/main" id="{A5EBB46B-D521-481E-A0F8-D5F542D0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8810" y="0"/>
          <a:ext cx="909864" cy="99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62593</xdr:colOff>
      <xdr:row>7</xdr:row>
      <xdr:rowOff>21771</xdr:rowOff>
    </xdr:from>
    <xdr:ext cx="920750" cy="927553"/>
    <xdr:pic>
      <xdr:nvPicPr>
        <xdr:cNvPr id="3" name="Gráfico 2" descr="Escena suburbana">
          <a:hlinkClick xmlns:r="http://schemas.openxmlformats.org/officeDocument/2006/relationships" r:id="rId2"/>
          <a:extLst>
            <a:ext uri="{FF2B5EF4-FFF2-40B4-BE49-F238E27FC236}">
              <a16:creationId xmlns:a16="http://schemas.microsoft.com/office/drawing/2014/main" id="{90172933-D2BB-4E3D-9961-03AD014542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2593" y="0"/>
          <a:ext cx="920750" cy="92755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4</xdr:col>
      <xdr:colOff>972910</xdr:colOff>
      <xdr:row>1</xdr:row>
      <xdr:rowOff>49516</xdr:rowOff>
    </xdr:from>
    <xdr:to>
      <xdr:col>6</xdr:col>
      <xdr:colOff>104774</xdr:colOff>
      <xdr:row>7</xdr:row>
      <xdr:rowOff>675194</xdr:rowOff>
    </xdr:to>
    <xdr:pic>
      <xdr:nvPicPr>
        <xdr:cNvPr id="2" name="Imagen 1">
          <a:extLst>
            <a:ext uri="{FF2B5EF4-FFF2-40B4-BE49-F238E27FC236}">
              <a16:creationId xmlns:a16="http://schemas.microsoft.com/office/drawing/2014/main" id="{FC8E118E-2848-43E7-812B-90B77F6777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0710" y="240016"/>
          <a:ext cx="913039" cy="999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62593</xdr:colOff>
      <xdr:row>7</xdr:row>
      <xdr:rowOff>21771</xdr:rowOff>
    </xdr:from>
    <xdr:to>
      <xdr:col>2</xdr:col>
      <xdr:colOff>14968</xdr:colOff>
      <xdr:row>8</xdr:row>
      <xdr:rowOff>266699</xdr:rowOff>
    </xdr:to>
    <xdr:pic>
      <xdr:nvPicPr>
        <xdr:cNvPr id="3" name="Gráfico 2" descr="Escena suburbana">
          <a:hlinkClick xmlns:r="http://schemas.openxmlformats.org/officeDocument/2006/relationships" r:id="rId2"/>
          <a:extLst>
            <a:ext uri="{FF2B5EF4-FFF2-40B4-BE49-F238E27FC236}">
              <a16:creationId xmlns:a16="http://schemas.microsoft.com/office/drawing/2014/main" id="{2D3CF934-3251-44D2-BD57-860FD24532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2593" y="2126796"/>
          <a:ext cx="914400" cy="9307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44450</xdr:colOff>
      <xdr:row>0</xdr:row>
      <xdr:rowOff>0</xdr:rowOff>
    </xdr:from>
    <xdr:to>
      <xdr:col>11</xdr:col>
      <xdr:colOff>495300</xdr:colOff>
      <xdr:row>26</xdr:row>
      <xdr:rowOff>155042</xdr:rowOff>
    </xdr:to>
    <xdr:pic>
      <xdr:nvPicPr>
        <xdr:cNvPr id="2" name="Imagen 1">
          <a:extLst>
            <a:ext uri="{FF2B5EF4-FFF2-40B4-BE49-F238E27FC236}">
              <a16:creationId xmlns:a16="http://schemas.microsoft.com/office/drawing/2014/main" id="{05936C09-E2DB-C52B-4972-F52956DF6CB7}"/>
            </a:ext>
          </a:extLst>
        </xdr:cNvPr>
        <xdr:cNvPicPr>
          <a:picLocks noChangeAspect="1"/>
        </xdr:cNvPicPr>
      </xdr:nvPicPr>
      <xdr:blipFill>
        <a:blip xmlns:r="http://schemas.openxmlformats.org/officeDocument/2006/relationships" r:embed="rId1"/>
        <a:stretch>
          <a:fillRect/>
        </a:stretch>
      </xdr:blipFill>
      <xdr:spPr>
        <a:xfrm>
          <a:off x="3092450" y="0"/>
          <a:ext cx="5784850" cy="5108042"/>
        </a:xfrm>
        <a:prstGeom prst="rect">
          <a:avLst/>
        </a:prstGeom>
      </xdr:spPr>
    </xdr:pic>
    <xdr:clientData/>
  </xdr:twoCellAnchor>
  <xdr:twoCellAnchor editAs="oneCell">
    <xdr:from>
      <xdr:col>4</xdr:col>
      <xdr:colOff>76200</xdr:colOff>
      <xdr:row>27</xdr:row>
      <xdr:rowOff>47624</xdr:rowOff>
    </xdr:from>
    <xdr:to>
      <xdr:col>11</xdr:col>
      <xdr:colOff>485775</xdr:colOff>
      <xdr:row>42</xdr:row>
      <xdr:rowOff>180975</xdr:rowOff>
    </xdr:to>
    <xdr:pic>
      <xdr:nvPicPr>
        <xdr:cNvPr id="3" name="Imagen 2">
          <a:extLst>
            <a:ext uri="{FF2B5EF4-FFF2-40B4-BE49-F238E27FC236}">
              <a16:creationId xmlns:a16="http://schemas.microsoft.com/office/drawing/2014/main" id="{C26438EB-DE44-1D10-37E8-2751E58C62E8}"/>
            </a:ext>
          </a:extLst>
        </xdr:cNvPr>
        <xdr:cNvPicPr>
          <a:picLocks noChangeAspect="1"/>
        </xdr:cNvPicPr>
      </xdr:nvPicPr>
      <xdr:blipFill>
        <a:blip xmlns:r="http://schemas.openxmlformats.org/officeDocument/2006/relationships" r:embed="rId2"/>
        <a:stretch>
          <a:fillRect/>
        </a:stretch>
      </xdr:blipFill>
      <xdr:spPr>
        <a:xfrm>
          <a:off x="3124200" y="5191124"/>
          <a:ext cx="5743575" cy="29908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unicundiedu-my.sharepoint.com/Users/ymaguirre/AppData/Local/Microsoft/Windows/Temporary%20Internet%20Files/Content.Outlook/DH5A0Q16/Mapa%20riesgos%20Plan%20Anticorrupcion%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nay/Downloads/GSI-CA-FO-09%20(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USER\AppData\Local\Microsoft\Olk\Attachments\ooa-b9642d19-806d-486c-83be-2794f7ba0fd5\bc1e196918fb76b573f7f81dedd84d211034ac2816576b6ebe231852b692e648\Gesti&#243;n%20ambiental.xlsx" TargetMode="External"/><Relationship Id="rId1" Type="http://schemas.openxmlformats.org/officeDocument/2006/relationships/externalLinkPath" Target="file:///C:\Users\USER\AppData\Local\Microsoft\Olk\Attachments\ooa-b9642d19-806d-486c-83be-2794f7ba0fd5\bc1e196918fb76b573f7f81dedd84d211034ac2816576b6ebe231852b692e648\Gesti&#243;n%20ambi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ATOS\ETITC\2025\Riesgos%202025\2025MapadeRiesgosCalida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ay\Downloads\GSI-CA-FO-09%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estionambiental\Downloads\mapariesgosambiental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alidad\Downloads\2025MapadeRiesgosCalidad.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personal/calidad_itc_edu_co/Documents/GESTI&#211;N%20PARA%20LA%20ALINEACION%20DE%20PROCESOS.%20MAPA%20V9/Sistemas%20Integrados%20de%20Aseguramiento%20%20ITC%202025/SEGURIDAD%20DE%20LA%20INFORMACI&#211;N/mapaderiesgocalidad24%20(1).xlsx?663F513B" TargetMode="External"/><Relationship Id="rId1" Type="http://schemas.openxmlformats.org/officeDocument/2006/relationships/externalLinkPath" Target="file:///\\663F513B\mapaderiesgocalidad24%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lidad\Downloads\mapariesgosautoevaluacion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ONTRATOS\ETITC\2025\Riesgos%202025\2025MapadeRiesgosaAutoevaluac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ONTRATOS\ETITC\2025\Riesgos%202025\2025MapadeRiesgosControl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o Estratégico"/>
      <sheetName val="Mapa de Riesgos"/>
      <sheetName val="Explicación de los campos"/>
      <sheetName val="Comprobación Riesgos Corrupción"/>
      <sheetName val="Listas"/>
      <sheetName val="Hoja2"/>
    </sheetNames>
    <sheetDataSet>
      <sheetData sheetId="0"/>
      <sheetData sheetId="1"/>
      <sheetData sheetId="2">
        <row r="2">
          <cell r="B2" t="str">
            <v>Servidores públicos</v>
          </cell>
          <cell r="G2" t="str">
            <v>Estratégico</v>
          </cell>
        </row>
        <row r="3">
          <cell r="B3" t="str">
            <v>Método</v>
          </cell>
          <cell r="G3" t="str">
            <v>Imagen</v>
          </cell>
        </row>
        <row r="4">
          <cell r="B4" t="str">
            <v>Sistemas de información</v>
          </cell>
          <cell r="G4" t="str">
            <v>Operativo</v>
          </cell>
        </row>
        <row r="5">
          <cell r="B5" t="str">
            <v>Ambiente de trabajo</v>
          </cell>
          <cell r="G5" t="str">
            <v>Financiero</v>
          </cell>
        </row>
        <row r="6">
          <cell r="B6" t="str">
            <v>Información</v>
          </cell>
          <cell r="G6" t="str">
            <v>Cumplimiento</v>
          </cell>
        </row>
        <row r="7">
          <cell r="B7" t="str">
            <v>Recursos Financieros</v>
          </cell>
          <cell r="G7" t="str">
            <v>Tecnológico</v>
          </cell>
        </row>
        <row r="8">
          <cell r="B8" t="str">
            <v>Recursos Físicos</v>
          </cell>
          <cell r="G8" t="str">
            <v>Corrupción</v>
          </cell>
        </row>
        <row r="9">
          <cell r="B9" t="str">
            <v>Entorno</v>
          </cell>
        </row>
      </sheetData>
      <sheetData sheetId="3"/>
      <sheetData sheetId="4"/>
      <sheetData sheetId="5">
        <row r="3">
          <cell r="H3" t="str">
            <v>1-Raro</v>
          </cell>
          <cell r="AI3" t="str">
            <v>Preventivo</v>
          </cell>
          <cell r="AK3" t="str">
            <v>Si</v>
          </cell>
        </row>
        <row r="4">
          <cell r="H4" t="str">
            <v>2-Improbable</v>
          </cell>
          <cell r="AI4" t="str">
            <v>Correctivo</v>
          </cell>
          <cell r="AK4" t="str">
            <v>No</v>
          </cell>
        </row>
        <row r="5">
          <cell r="H5" t="str">
            <v>3-Posible</v>
          </cell>
          <cell r="AI5" t="str">
            <v>Detectivo</v>
          </cell>
        </row>
        <row r="6">
          <cell r="H6" t="str">
            <v>4-Probable</v>
          </cell>
          <cell r="AI6" t="str">
            <v>No hay control</v>
          </cell>
        </row>
        <row r="7">
          <cell r="H7" t="str">
            <v>5-Casi seguro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
          <cell r="C11" t="str">
            <v xml:space="preserve">     Afectación menor a 10 SMLMV .</v>
          </cell>
        </row>
        <row r="221">
          <cell r="B221" t="e">
            <v>#NAME?</v>
          </cell>
        </row>
        <row r="222">
          <cell r="B222" t="e">
            <v>#NAME?</v>
          </cell>
        </row>
        <row r="223">
          <cell r="B223" t="e">
            <v>#NAME?</v>
          </cell>
          <cell r="F223" t="str">
            <v>❌</v>
          </cell>
        </row>
      </sheetData>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e">
            <v>#NAME?</v>
          </cell>
        </row>
        <row r="222">
          <cell r="B222" t="e">
            <v>#NAME?</v>
          </cell>
        </row>
        <row r="223">
          <cell r="B223" t="e">
            <v>#NAME?</v>
          </cell>
          <cell r="F223" t="str">
            <v>❌</v>
          </cell>
        </row>
      </sheetData>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21">
          <cell r="B221" t="str">
            <v>Criterios</v>
          </cell>
        </row>
        <row r="222">
          <cell r="B222" t="str">
            <v>Afectación Económica o presupuestal</v>
          </cell>
        </row>
        <row r="223">
          <cell r="B223" t="str">
            <v>Pérdida Reputacional</v>
          </cell>
          <cell r="F223" t="str">
            <v>❌</v>
          </cell>
        </row>
      </sheetData>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
      <sheetName val="CRITERIOS R CORRUPCION"/>
      <sheetName val="Mapa final"/>
      <sheetName val="Hoja2"/>
      <sheetName val="Apayo Visual "/>
      <sheetName val="eliminar"/>
      <sheetName val="Matriz Calor Inherente"/>
      <sheetName val="Matriz Calor Residual"/>
      <sheetName val="CAMBIOS REGISTRO"/>
      <sheetName val="SGI"/>
      <sheetName val="Intructivo"/>
      <sheetName val="CONTROL DE CAMBIOS REGISTRO "/>
      <sheetName val="Listas"/>
      <sheetName val="Hoja3"/>
      <sheetName val="Control de Cambios FORMATO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274" dataDxfId="273">
  <autoFilter ref="B209:C219" xr:uid="{00000000-0009-0000-0100-000001000000}"/>
  <tableColumns count="2">
    <tableColumn id="1" xr3:uid="{00000000-0010-0000-0000-000001000000}" name="Criterios" dataDxfId="272"/>
    <tableColumn id="2" xr3:uid="{00000000-0010-0000-0000-000002000000}" name="Subcriterios" dataDxfId="27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f:/g/personal/calidad_itc_edu_co/EooFaHSaomdEu8CZxguOPWsBJDxBQK_nBVLooJ5wCp3enw?e=xbIKkC" TargetMode="External"/><Relationship Id="rId7" Type="http://schemas.openxmlformats.org/officeDocument/2006/relationships/printerSettings" Target="../printerSettings/printerSettings4.bin"/><Relationship Id="rId2" Type="http://schemas.openxmlformats.org/officeDocument/2006/relationships/hyperlink" Target="https://www.etitc.edu.co/es/page/leytransparencia" TargetMode="External"/><Relationship Id="rId1" Type="http://schemas.openxmlformats.org/officeDocument/2006/relationships/hyperlink" Target="https://www.etitc.edu.co/archives/calidad/informerevisiondireccion24.pdf" TargetMode="External"/><Relationship Id="rId6" Type="http://schemas.openxmlformats.org/officeDocument/2006/relationships/hyperlink" Target="../../../../../:f:/g/personal/calidad_itc_edu_co/EooFaHSaomdEu8CZxguOPWsBJDxBQK_nBVLooJ5wCp3enw?e=xbIKkC" TargetMode="External"/><Relationship Id="rId5" Type="http://schemas.openxmlformats.org/officeDocument/2006/relationships/hyperlink" Target="../../../../../:f:/g/personal/calidad_itc_edu_co/EooFaHSaomdEu8CZxguOPWsBJDxBQK_nBVLooJ5wCp3enw?e=xbIKkC" TargetMode="External"/><Relationship Id="rId10" Type="http://schemas.openxmlformats.org/officeDocument/2006/relationships/comments" Target="../comments3.xml"/><Relationship Id="rId4" Type="http://schemas.openxmlformats.org/officeDocument/2006/relationships/hyperlink" Target="../../../../../:f:/g/personal/calidad_itc_edu_co/EooFaHSaomdEu8CZxguOPWsBJDxBQK_nBVLooJ5wCp3enw?e=xbIKkC"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x:/g/personal/gestionambiental_itc_edu_co/Edae4N1s6RxIoj99msshrwQBOHj4Gz_SJgO83NkMNJvvBg?e=gVsv6o" TargetMode="External"/><Relationship Id="rId1" Type="http://schemas.openxmlformats.org/officeDocument/2006/relationships/hyperlink" Target="../../../../../../../:x:/g/personal/gestionambiental_itc_edu_co/EdTcw380hCFCgEhK2qTLIboBSrMSEekGF6lble_2gKH2CQ?e=bAT9Sv"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itceduco.sharepoint.com/:f:/s/MESADETRABAJONCISO27001/EhzDvWiVR3VAlTEA63z8m5gBuwy0HXFBTqqGr80CvUlYGA?e=B1iyVA" TargetMode="External"/><Relationship Id="rId13" Type="http://schemas.openxmlformats.org/officeDocument/2006/relationships/hyperlink" Target="../../../../../../:f:/g/personal/seguridaddigital_itc_edu_co/ElqWBeKLwrNIhyyyZKkau7wByewKccwSIsnxG4S65beoXw?e=22kR69" TargetMode="External"/><Relationship Id="rId18" Type="http://schemas.openxmlformats.org/officeDocument/2006/relationships/vmlDrawing" Target="../drawings/vmlDrawing5.vml"/><Relationship Id="rId3" Type="http://schemas.openxmlformats.org/officeDocument/2006/relationships/hyperlink" Target="../../../../../../:x:/g/personal/seguridaddigital_itc_edu_co/ERWKhscw4L1As8WJjIqXm1wBw5suzKO0k_dxZXbf2hVRMQ?e=kx0NlF" TargetMode="External"/><Relationship Id="rId7" Type="http://schemas.openxmlformats.org/officeDocument/2006/relationships/hyperlink" Target="../../../../../../:f:/g/personal/seguridaddigital_itc_edu_co/EiC49fyxHOlElnU8OriO0jYBCFdZY86h-Cau_e-UvAg8vA?e=3teIQo" TargetMode="External"/><Relationship Id="rId12" Type="http://schemas.openxmlformats.org/officeDocument/2006/relationships/hyperlink" Target="../../../../../../:f:/g/personal/seguridaddigital_itc_edu_co/EiC49fyxHOlElnU8OriO0jYBCFdZY86h-Cau_e-UvAg8vA?e=3teIQo" TargetMode="External"/><Relationship Id="rId17" Type="http://schemas.openxmlformats.org/officeDocument/2006/relationships/drawing" Target="../drawings/drawing7.xml"/><Relationship Id="rId2" Type="http://schemas.openxmlformats.org/officeDocument/2006/relationships/hyperlink" Target="../../../../../:f:/g/personal/seguridaddigital_itc_edu_co/EiC49fyxHOlElnU8OriO0jYBCFdZY86h-Cau_e-UvAg8vA?e=3teIQo" TargetMode="External"/><Relationship Id="rId16" Type="http://schemas.openxmlformats.org/officeDocument/2006/relationships/printerSettings" Target="../printerSettings/printerSettings6.bin"/><Relationship Id="rId1" Type="http://schemas.openxmlformats.org/officeDocument/2006/relationships/hyperlink" Target="../../../../../:f:/g/personal/seguridaddigital_itc_edu_co/ElqWBeKLwrNIhyyyZKkau7wByewKccwSIsnxG4S65beoXw?e=22kR69" TargetMode="External"/><Relationship Id="rId6" Type="http://schemas.openxmlformats.org/officeDocument/2006/relationships/hyperlink" Target="../../../../../../:f:/g/personal/seguridaddigital_itc_edu_co/EiC49fyxHOlElnU8OriO0jYBCFdZY86h-Cau_e-UvAg8vA?e=3teIQo" TargetMode="External"/><Relationship Id="rId11" Type="http://schemas.openxmlformats.org/officeDocument/2006/relationships/hyperlink" Target="https://itceduco.sharepoint.com/:f:/s/MESADETRABAJONCISO27001/EhzDvWiVR3VAlTEA63z8m5gBuwy0HXFBTqqGr80CvUlYGA?e=B1iyVA" TargetMode="External"/><Relationship Id="rId5" Type="http://schemas.openxmlformats.org/officeDocument/2006/relationships/hyperlink" Target="../../../../../../:x:/g/personal/seguridaddigital_itc_edu_co/Ecmk9iwxLo1HnyHKqSnDB-QBEx2vDY0Hvi1wYUIIrycPtQ?e=WR7byu" TargetMode="External"/><Relationship Id="rId15" Type="http://schemas.openxmlformats.org/officeDocument/2006/relationships/hyperlink" Target="../../../../../../:f:/g/personal/seguridaddigital_itc_edu_co/EiC49fyxHOlElnU8OriO0jYBCFdZY86h-Cau_e-UvAg8vA?e=3teIQo" TargetMode="External"/><Relationship Id="rId10" Type="http://schemas.openxmlformats.org/officeDocument/2006/relationships/hyperlink" Target="https://itceduco.sharepoint.com/:f:/s/MESADETRABAJONCISO27001/EhzDvWiVR3VAlTEA63z8m5gBuwy0HXFBTqqGr80CvUlYGA?e=B1iyVA" TargetMode="External"/><Relationship Id="rId19" Type="http://schemas.openxmlformats.org/officeDocument/2006/relationships/comments" Target="../comments5.xml"/><Relationship Id="rId4" Type="http://schemas.openxmlformats.org/officeDocument/2006/relationships/hyperlink" Target="../../../../../:f:/g/personal/seguridaddigital_itc_edu_co/EtALee59y4tMgnH1a99ZgncBJGu6XL1PVoy5p9SfNZle-g?e=FJSW9G" TargetMode="External"/><Relationship Id="rId9" Type="http://schemas.openxmlformats.org/officeDocument/2006/relationships/hyperlink" Target="../../../../../../:f:/g/personal/seguridaddigital_itc_edu_co/ElqWBeKLwrNIhyyyZKkau7wByewKccwSIsnxG4S65beoXw?e=22kR69" TargetMode="External"/><Relationship Id="rId14" Type="http://schemas.openxmlformats.org/officeDocument/2006/relationships/hyperlink" Target="../../../../../../:x:/g/personal/seguridaddigital_itc_edu_co/Ecmk9iwxLo1HnyHKqSnDB-QBEx2vDY0Hvi1wYUIIrycPtQ?e=WR7byu"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4C19-3DBA-497D-AF9E-D7D767CDF5C0}">
  <dimension ref="B1:N38"/>
  <sheetViews>
    <sheetView showGridLines="0" tabSelected="1" topLeftCell="A3" zoomScale="95" zoomScaleNormal="95" workbookViewId="0"/>
  </sheetViews>
  <sheetFormatPr baseColWidth="10" defaultColWidth="11.42578125" defaultRowHeight="15" x14ac:dyDescent="0.25"/>
  <cols>
    <col min="1" max="1" width="3.85546875" style="69" customWidth="1"/>
    <col min="2" max="2" width="16.85546875" customWidth="1"/>
    <col min="3" max="3" width="25" customWidth="1"/>
    <col min="4" max="12" width="10.85546875" customWidth="1"/>
    <col min="13" max="13" width="13.28515625" customWidth="1"/>
    <col min="14" max="14" width="15.5703125" customWidth="1"/>
    <col min="15" max="16384" width="11.42578125" style="69"/>
  </cols>
  <sheetData>
    <row r="1" spans="2:14" ht="12.75" customHeight="1" thickBot="1" x14ac:dyDescent="0.3">
      <c r="B1" s="69"/>
      <c r="C1" s="69"/>
      <c r="D1" s="69"/>
      <c r="E1" s="69"/>
      <c r="F1" s="69"/>
      <c r="G1" s="69"/>
      <c r="H1" s="69"/>
      <c r="I1" s="69"/>
      <c r="J1" s="69"/>
      <c r="K1" s="69"/>
      <c r="L1" s="69"/>
      <c r="M1" s="69"/>
      <c r="N1" s="69"/>
    </row>
    <row r="2" spans="2:14" ht="18.75" customHeight="1" x14ac:dyDescent="0.25">
      <c r="B2" s="411" t="s">
        <v>265</v>
      </c>
      <c r="C2" s="412"/>
      <c r="D2" s="402" t="s">
        <v>203</v>
      </c>
      <c r="E2" s="403"/>
      <c r="F2" s="403"/>
      <c r="G2" s="403"/>
      <c r="H2" s="403"/>
      <c r="I2" s="403"/>
      <c r="J2" s="403"/>
      <c r="K2" s="403"/>
      <c r="L2" s="404"/>
      <c r="M2" s="417" t="s">
        <v>334</v>
      </c>
      <c r="N2" s="418"/>
    </row>
    <row r="3" spans="2:14" ht="29.25" customHeight="1" x14ac:dyDescent="0.25">
      <c r="B3" s="413"/>
      <c r="C3" s="414"/>
      <c r="D3" s="405"/>
      <c r="E3" s="406"/>
      <c r="F3" s="406"/>
      <c r="G3" s="406"/>
      <c r="H3" s="406"/>
      <c r="I3" s="406"/>
      <c r="J3" s="406"/>
      <c r="K3" s="406"/>
      <c r="L3" s="407"/>
      <c r="M3" s="419" t="s">
        <v>262</v>
      </c>
      <c r="N3" s="420"/>
    </row>
    <row r="4" spans="2:14" ht="29.25" customHeight="1" x14ac:dyDescent="0.25">
      <c r="B4" s="413"/>
      <c r="C4" s="414"/>
      <c r="D4" s="405"/>
      <c r="E4" s="406"/>
      <c r="F4" s="406"/>
      <c r="G4" s="406"/>
      <c r="H4" s="406"/>
      <c r="I4" s="406"/>
      <c r="J4" s="406"/>
      <c r="K4" s="406"/>
      <c r="L4" s="407"/>
      <c r="M4" s="419" t="s">
        <v>333</v>
      </c>
      <c r="N4" s="420"/>
    </row>
    <row r="5" spans="2:14" ht="29.25" customHeight="1" thickBot="1" x14ac:dyDescent="0.3">
      <c r="B5" s="415"/>
      <c r="C5" s="416"/>
      <c r="D5" s="408"/>
      <c r="E5" s="409"/>
      <c r="F5" s="409"/>
      <c r="G5" s="409"/>
      <c r="H5" s="409"/>
      <c r="I5" s="409"/>
      <c r="J5" s="409"/>
      <c r="K5" s="409"/>
      <c r="L5" s="410"/>
      <c r="M5" s="421" t="s">
        <v>243</v>
      </c>
      <c r="N5" s="422"/>
    </row>
    <row r="6" spans="2:14" ht="7.5" customHeight="1" thickBot="1" x14ac:dyDescent="0.3"/>
    <row r="7" spans="2:14" x14ac:dyDescent="0.25">
      <c r="B7" s="134"/>
      <c r="C7" s="135"/>
      <c r="D7" s="135"/>
      <c r="E7" s="135"/>
      <c r="F7" s="135"/>
      <c r="G7" s="135"/>
      <c r="H7" s="135"/>
      <c r="I7" s="135"/>
      <c r="J7" s="135"/>
      <c r="K7" s="135"/>
      <c r="L7" s="135"/>
      <c r="M7" s="135"/>
      <c r="N7" s="136"/>
    </row>
    <row r="8" spans="2:14" x14ac:dyDescent="0.25">
      <c r="B8" s="137"/>
      <c r="N8" s="138"/>
    </row>
    <row r="9" spans="2:14" x14ac:dyDescent="0.25">
      <c r="B9" s="137"/>
      <c r="N9" s="138"/>
    </row>
    <row r="10" spans="2:14" x14ac:dyDescent="0.25">
      <c r="B10" s="137"/>
      <c r="N10" s="138"/>
    </row>
    <row r="11" spans="2:14" x14ac:dyDescent="0.25">
      <c r="B11" s="137"/>
      <c r="N11" s="138"/>
    </row>
    <row r="12" spans="2:14" x14ac:dyDescent="0.25">
      <c r="B12" s="137"/>
      <c r="N12" s="138"/>
    </row>
    <row r="13" spans="2:14" x14ac:dyDescent="0.25">
      <c r="B13" s="137"/>
      <c r="N13" s="138"/>
    </row>
    <row r="14" spans="2:14" x14ac:dyDescent="0.25">
      <c r="B14" s="137"/>
      <c r="N14" s="138"/>
    </row>
    <row r="15" spans="2:14" x14ac:dyDescent="0.25">
      <c r="B15" s="137"/>
      <c r="N15" s="138"/>
    </row>
    <row r="16" spans="2:14" ht="21" customHeight="1" x14ac:dyDescent="0.25">
      <c r="B16" s="137"/>
      <c r="N16" s="138"/>
    </row>
    <row r="17" spans="2:14" ht="18.75" customHeight="1" x14ac:dyDescent="0.25">
      <c r="B17" s="137"/>
      <c r="N17" s="138"/>
    </row>
    <row r="18" spans="2:14" ht="17.25" customHeight="1" x14ac:dyDescent="0.25">
      <c r="B18" s="137"/>
      <c r="N18" s="138"/>
    </row>
    <row r="19" spans="2:14" ht="18.75" customHeight="1" x14ac:dyDescent="0.25">
      <c r="B19" s="137"/>
      <c r="N19" s="138"/>
    </row>
    <row r="20" spans="2:14" ht="21" customHeight="1" x14ac:dyDescent="0.25">
      <c r="B20" s="137"/>
      <c r="N20" s="138"/>
    </row>
    <row r="21" spans="2:14" x14ac:dyDescent="0.25">
      <c r="B21" s="137"/>
      <c r="N21" s="138"/>
    </row>
    <row r="22" spans="2:14" x14ac:dyDescent="0.25">
      <c r="B22" s="137"/>
      <c r="N22" s="138"/>
    </row>
    <row r="23" spans="2:14" x14ac:dyDescent="0.25">
      <c r="B23" s="137"/>
      <c r="N23" s="138"/>
    </row>
    <row r="24" spans="2:14" x14ac:dyDescent="0.25">
      <c r="B24" s="137"/>
      <c r="N24" s="138"/>
    </row>
    <row r="25" spans="2:14" x14ac:dyDescent="0.25">
      <c r="B25" s="137"/>
      <c r="N25" s="138"/>
    </row>
    <row r="26" spans="2:14" x14ac:dyDescent="0.25">
      <c r="B26" s="137"/>
      <c r="N26" s="138"/>
    </row>
    <row r="27" spans="2:14" x14ac:dyDescent="0.25">
      <c r="B27" s="137"/>
      <c r="N27" s="138"/>
    </row>
    <row r="28" spans="2:14" x14ac:dyDescent="0.25">
      <c r="B28" s="137"/>
      <c r="N28" s="138"/>
    </row>
    <row r="29" spans="2:14" x14ac:dyDescent="0.25">
      <c r="B29" s="137"/>
      <c r="N29" s="138"/>
    </row>
    <row r="30" spans="2:14" x14ac:dyDescent="0.25">
      <c r="B30" s="137"/>
      <c r="N30" s="138"/>
    </row>
    <row r="31" spans="2:14" x14ac:dyDescent="0.25">
      <c r="B31" s="137"/>
      <c r="D31" s="401" t="s">
        <v>307</v>
      </c>
      <c r="E31" s="401"/>
      <c r="N31" s="138"/>
    </row>
    <row r="32" spans="2:14" x14ac:dyDescent="0.25">
      <c r="B32" s="137"/>
      <c r="D32" s="401"/>
      <c r="E32" s="401"/>
      <c r="N32" s="138"/>
    </row>
    <row r="33" spans="2:14" x14ac:dyDescent="0.25">
      <c r="B33" s="137"/>
      <c r="N33" s="138"/>
    </row>
    <row r="34" spans="2:14" x14ac:dyDescent="0.25">
      <c r="B34" s="137"/>
      <c r="N34" s="138"/>
    </row>
    <row r="35" spans="2:14" x14ac:dyDescent="0.25">
      <c r="B35" s="137"/>
      <c r="N35" s="138"/>
    </row>
    <row r="36" spans="2:14" x14ac:dyDescent="0.25">
      <c r="B36" s="137"/>
      <c r="N36" s="138"/>
    </row>
    <row r="37" spans="2:14" x14ac:dyDescent="0.25">
      <c r="B37" s="137"/>
      <c r="N37" s="138"/>
    </row>
    <row r="38" spans="2:14" ht="15.75" thickBot="1" x14ac:dyDescent="0.3">
      <c r="B38" s="139"/>
      <c r="C38" s="140"/>
      <c r="D38" s="140"/>
      <c r="E38" s="140"/>
      <c r="F38" s="140"/>
      <c r="G38" s="140"/>
      <c r="H38" s="140"/>
      <c r="I38" s="140"/>
      <c r="J38" s="140"/>
      <c r="K38" s="140"/>
      <c r="L38" s="140"/>
      <c r="M38" s="140"/>
      <c r="N38" s="141"/>
    </row>
  </sheetData>
  <sheetProtection algorithmName="SHA-512" hashValue="RxybnNQ1YWpJilf8WEbFYMYsZ11eFC2Iz/gC94VLAk+5Qq9CtU1EhMtF014QbdQkhXsBGHEp4Qc8379PSttBnw==" saltValue="SXbtUUnOH5yblMVq97hAKg==" spinCount="100000" sheet="1" objects="1" scenarios="1"/>
  <mergeCells count="7">
    <mergeCell ref="D31:E32"/>
    <mergeCell ref="D2:L5"/>
    <mergeCell ref="B2:C5"/>
    <mergeCell ref="M2:N2"/>
    <mergeCell ref="M3:N3"/>
    <mergeCell ref="M4:N4"/>
    <mergeCell ref="M5:N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F7EC-262C-45D7-BEF4-149806A0D01C}">
  <dimension ref="B2:B30"/>
  <sheetViews>
    <sheetView zoomScale="70" zoomScaleNormal="70" workbookViewId="0">
      <selection activeCell="O28" sqref="O28"/>
    </sheetView>
  </sheetViews>
  <sheetFormatPr baseColWidth="10" defaultRowHeight="15" x14ac:dyDescent="0.25"/>
  <sheetData>
    <row r="2" spans="2:2" x14ac:dyDescent="0.25">
      <c r="B2" t="s">
        <v>321</v>
      </c>
    </row>
    <row r="30" spans="2:2" x14ac:dyDescent="0.25">
      <c r="B30" t="s">
        <v>322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CW145"/>
  <sheetViews>
    <sheetView showGridLines="0" zoomScale="60" zoomScaleNormal="60" workbookViewId="0">
      <pane ySplit="7" topLeftCell="A8" activePane="bottomLeft" state="frozen"/>
      <selection pane="bottomLeft"/>
    </sheetView>
  </sheetViews>
  <sheetFormatPr baseColWidth="10" defaultRowHeight="15" x14ac:dyDescent="0.25"/>
  <cols>
    <col min="1" max="1" width="11" customWidth="1"/>
    <col min="2" max="2" width="9" customWidth="1"/>
    <col min="3" max="3" width="5.42578125" customWidth="1"/>
    <col min="4" max="24" width="5.7109375" customWidth="1"/>
    <col min="25" max="25" width="7.42578125" customWidth="1"/>
    <col min="26" max="26" width="8.140625" customWidth="1"/>
    <col min="27" max="27" width="7.28515625" customWidth="1"/>
    <col min="28" max="37" width="5.7109375" customWidth="1"/>
    <col min="38" max="38" width="7.5703125" customWidth="1"/>
    <col min="39" max="39" width="6.7109375" customWidth="1"/>
    <col min="40" max="41" width="5.7109375" customWidth="1"/>
    <col min="43" max="48" width="5.7109375" customWidth="1"/>
  </cols>
  <sheetData>
    <row r="1" spans="1:101" ht="15.75" thickBot="1" x14ac:dyDescent="0.3"/>
    <row r="2" spans="1:101" ht="15" customHeight="1" x14ac:dyDescent="0.25">
      <c r="D2" s="670" t="s">
        <v>249</v>
      </c>
      <c r="E2" s="671"/>
      <c r="F2" s="671"/>
      <c r="G2" s="671"/>
      <c r="H2" s="671"/>
      <c r="I2" s="671"/>
      <c r="J2" s="671"/>
      <c r="K2" s="672"/>
      <c r="L2" s="661" t="s">
        <v>203</v>
      </c>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2"/>
      <c r="AO2" s="663"/>
      <c r="AP2" s="445" t="s">
        <v>248</v>
      </c>
      <c r="AQ2" s="658"/>
      <c r="AR2" s="658"/>
      <c r="AS2" s="658"/>
      <c r="AT2" s="658"/>
      <c r="AU2" s="658"/>
      <c r="AV2" s="418"/>
    </row>
    <row r="3" spans="1:101" x14ac:dyDescent="0.25">
      <c r="D3" s="673"/>
      <c r="E3" s="674"/>
      <c r="F3" s="674"/>
      <c r="G3" s="674"/>
      <c r="H3" s="674"/>
      <c r="I3" s="674"/>
      <c r="J3" s="674"/>
      <c r="K3" s="675"/>
      <c r="L3" s="664"/>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6"/>
      <c r="AP3" s="446" t="s">
        <v>262</v>
      </c>
      <c r="AQ3" s="659"/>
      <c r="AR3" s="659"/>
      <c r="AS3" s="659"/>
      <c r="AT3" s="659"/>
      <c r="AU3" s="659"/>
      <c r="AV3" s="420"/>
    </row>
    <row r="4" spans="1:101" x14ac:dyDescent="0.25">
      <c r="D4" s="673"/>
      <c r="E4" s="674"/>
      <c r="F4" s="674"/>
      <c r="G4" s="674"/>
      <c r="H4" s="674"/>
      <c r="I4" s="674"/>
      <c r="J4" s="674"/>
      <c r="K4" s="675"/>
      <c r="L4" s="664"/>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6"/>
      <c r="AP4" s="446" t="s">
        <v>333</v>
      </c>
      <c r="AQ4" s="659" t="s">
        <v>261</v>
      </c>
      <c r="AR4" s="659"/>
      <c r="AS4" s="659"/>
      <c r="AT4" s="659"/>
      <c r="AU4" s="659"/>
      <c r="AV4" s="420"/>
    </row>
    <row r="5" spans="1:101" ht="15.75" thickBot="1" x14ac:dyDescent="0.3">
      <c r="D5" s="676"/>
      <c r="E5" s="677"/>
      <c r="F5" s="677"/>
      <c r="G5" s="677"/>
      <c r="H5" s="677"/>
      <c r="I5" s="677"/>
      <c r="J5" s="677"/>
      <c r="K5" s="678"/>
      <c r="L5" s="667"/>
      <c r="M5" s="668"/>
      <c r="N5" s="668"/>
      <c r="O5" s="668"/>
      <c r="P5" s="668"/>
      <c r="Q5" s="668"/>
      <c r="R5" s="668"/>
      <c r="S5" s="668"/>
      <c r="T5" s="668"/>
      <c r="U5" s="668"/>
      <c r="V5" s="668"/>
      <c r="W5" s="668"/>
      <c r="X5" s="668"/>
      <c r="Y5" s="668"/>
      <c r="Z5" s="668"/>
      <c r="AA5" s="668"/>
      <c r="AB5" s="668"/>
      <c r="AC5" s="668"/>
      <c r="AD5" s="668"/>
      <c r="AE5" s="668"/>
      <c r="AF5" s="668"/>
      <c r="AG5" s="668"/>
      <c r="AH5" s="668"/>
      <c r="AI5" s="668"/>
      <c r="AJ5" s="668"/>
      <c r="AK5" s="668"/>
      <c r="AL5" s="668"/>
      <c r="AM5" s="668"/>
      <c r="AN5" s="668"/>
      <c r="AO5" s="669"/>
      <c r="AP5" s="447" t="s">
        <v>243</v>
      </c>
      <c r="AQ5" s="660" t="s">
        <v>243</v>
      </c>
      <c r="AR5" s="660"/>
      <c r="AS5" s="660"/>
      <c r="AT5" s="660"/>
      <c r="AU5" s="660"/>
      <c r="AV5" s="422"/>
    </row>
    <row r="7" spans="1:101" ht="18" customHeight="1" x14ac:dyDescent="0.25">
      <c r="C7" s="69"/>
      <c r="D7" s="767" t="s">
        <v>156</v>
      </c>
      <c r="E7" s="767"/>
      <c r="F7" s="767"/>
      <c r="G7" s="767"/>
      <c r="H7" s="767"/>
      <c r="I7" s="767"/>
      <c r="J7" s="767"/>
      <c r="K7" s="767"/>
      <c r="L7" s="723" t="s">
        <v>2</v>
      </c>
      <c r="M7" s="723"/>
      <c r="N7" s="723"/>
      <c r="O7" s="723"/>
      <c r="P7" s="723"/>
      <c r="Q7" s="723"/>
      <c r="R7" s="723"/>
      <c r="S7" s="723"/>
      <c r="T7" s="723"/>
      <c r="U7" s="723"/>
      <c r="V7" s="723"/>
      <c r="W7" s="723"/>
      <c r="X7" s="723"/>
      <c r="Y7" s="723"/>
      <c r="Z7" s="723"/>
      <c r="AA7" s="723"/>
      <c r="AB7" s="723"/>
      <c r="AC7" s="723"/>
      <c r="AD7" s="723"/>
      <c r="AE7" s="723"/>
      <c r="AF7" s="723"/>
      <c r="AG7" s="723"/>
      <c r="AH7" s="723"/>
      <c r="AI7" s="723"/>
      <c r="AJ7" s="723"/>
      <c r="AK7" s="723"/>
      <c r="AL7" s="723"/>
      <c r="AM7" s="723"/>
      <c r="AN7" s="723"/>
      <c r="AO7" s="723"/>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row>
    <row r="8" spans="1:101" ht="18.75" customHeight="1" x14ac:dyDescent="0.25">
      <c r="A8" s="521" t="s">
        <v>264</v>
      </c>
      <c r="B8" s="521"/>
      <c r="C8" s="522"/>
      <c r="D8" s="767"/>
      <c r="E8" s="767"/>
      <c r="F8" s="767"/>
      <c r="G8" s="767"/>
      <c r="H8" s="767"/>
      <c r="I8" s="767"/>
      <c r="J8" s="767"/>
      <c r="K8" s="767"/>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723"/>
      <c r="AL8" s="723"/>
      <c r="AM8" s="723"/>
      <c r="AN8" s="723"/>
      <c r="AO8" s="723"/>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row>
    <row r="9" spans="1:101" ht="15" customHeight="1" x14ac:dyDescent="0.25">
      <c r="C9" s="69"/>
      <c r="D9" s="767"/>
      <c r="E9" s="767"/>
      <c r="F9" s="767"/>
      <c r="G9" s="767"/>
      <c r="H9" s="767"/>
      <c r="I9" s="767"/>
      <c r="J9" s="767"/>
      <c r="K9" s="767"/>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723"/>
      <c r="AK9" s="723"/>
      <c r="AL9" s="723"/>
      <c r="AM9" s="723"/>
      <c r="AN9" s="723"/>
      <c r="AO9" s="723"/>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row>
    <row r="10" spans="1:101" ht="15.75" thickBot="1" x14ac:dyDescent="0.3">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row>
    <row r="11" spans="1:101" ht="15" customHeight="1" x14ac:dyDescent="0.25">
      <c r="C11" s="69"/>
      <c r="D11" s="679" t="s">
        <v>4</v>
      </c>
      <c r="E11" s="679"/>
      <c r="F11" s="680"/>
      <c r="G11" s="717" t="s">
        <v>114</v>
      </c>
      <c r="H11" s="718"/>
      <c r="I11" s="718"/>
      <c r="J11" s="718"/>
      <c r="K11" s="718"/>
      <c r="L11" s="725" t="str">
        <f>IF(AND('Mapa final GC'!$Q$15="Muy Alta",'Mapa final GC'!$U$15="Leve"),CONCATENATE("R",'Mapa final GC'!$A$15),"")</f>
        <v/>
      </c>
      <c r="M11" s="726"/>
      <c r="N11" s="726" t="str">
        <f>IF(AND('Mapa final GC'!$L$16="Muy Alta",'Mapa final GC'!$P$16="Leve"),CONCATENATE("R",'Mapa final GC'!$A$16),"")</f>
        <v/>
      </c>
      <c r="O11" s="726"/>
      <c r="P11" s="726" t="str">
        <f>IF(AND('Mapa final GC'!$L$17="Muy Alta",'Mapa final GC'!$P$17="Leve"),CONCATENATE("R",'Mapa final GC'!$A$17),"")</f>
        <v/>
      </c>
      <c r="Q11" s="739"/>
      <c r="R11" s="725" t="str">
        <f>IF(AND('Mapa final GC'!$Q$15="Muy Alta",'Mapa final GC'!$U$15="Menor"),CONCATENATE("R",'Mapa final GC'!$A$15),"")</f>
        <v/>
      </c>
      <c r="S11" s="726"/>
      <c r="T11" s="726" t="str">
        <f>IF(AND('Mapa final GC'!$Q$16="Muy Alta",'Mapa final GC'!$U$16="Menor"),CONCATENATE("R",'Mapa final GC'!$A$16),"")</f>
        <v/>
      </c>
      <c r="U11" s="726"/>
      <c r="V11" s="726" t="str">
        <f>IF(AND('Mapa final GC'!$Q$17="Muy Alta",'Mapa final GC'!$U$17="Menor"),CONCATENATE("R",'Mapa final GC'!$A$17),"")</f>
        <v/>
      </c>
      <c r="W11" s="726"/>
      <c r="X11" s="725" t="str">
        <f>IF(AND('Mapa final GC'!$Q$15="Muy Alta",'Mapa final GC'!$U$15="Moderado"),CONCATENATE("R",'Mapa final GC'!$A$15),"")</f>
        <v/>
      </c>
      <c r="Y11" s="726"/>
      <c r="Z11" s="726" t="str">
        <f>IF(AND('Mapa final GC'!Q$16="Muy Alta",'Mapa final GC'!$U$16="Moderado"),CONCATENATE("R",'Mapa final GC'!$A$16),"")</f>
        <v/>
      </c>
      <c r="AA11" s="726"/>
      <c r="AB11" s="726" t="str">
        <f>IF(AND('Mapa final GC'!$Q$17="Muy Alta",'Mapa final GC'!$U$17="Moderado"),CONCATENATE("R",'Mapa final GC'!$A$17),"")</f>
        <v/>
      </c>
      <c r="AC11" s="726"/>
      <c r="AD11" s="725" t="str">
        <f>IF(AND('Mapa final GC'!$Q$15="Muy Alta",'Mapa final GC'!$U$15="Mayor"),CONCATENATE("R",'Mapa final GC'!$A$15),"")</f>
        <v/>
      </c>
      <c r="AE11" s="726"/>
      <c r="AF11" s="726" t="str">
        <f>IF(AND('Mapa final GC'!$Q$16="Muy Alta",'Mapa final GC'!$U$16="Mayor"),CONCATENATE("R",'Mapa final GC'!$A$16),"")</f>
        <v/>
      </c>
      <c r="AG11" s="726"/>
      <c r="AH11" s="726" t="str">
        <f>IF(AND('Mapa final GC'!$Q$17="Muy Alta",'Mapa final GC'!$U$17="Mayor"),CONCATENATE("R",'Mapa final GC'!$A$17),"")</f>
        <v/>
      </c>
      <c r="AI11" s="726"/>
      <c r="AJ11" s="743" t="str">
        <f>IF(AND('Mapa final GC'!$Q$15="Muy Alta",'Mapa final GC'!$U$15="Catastrófico"),CONCATENATE("R",'Mapa final GC'!$A$15),"")</f>
        <v/>
      </c>
      <c r="AK11" s="744"/>
      <c r="AL11" s="744" t="str">
        <f>IF(AND('Mapa final GC'!$Q$16="Muy Alta",'Mapa final GC'!$U$16="Catastrófico"),CONCATENATE("R",'Mapa final GC'!$A$16),"")</f>
        <v/>
      </c>
      <c r="AM11" s="744"/>
      <c r="AN11" s="744" t="str">
        <f>IF(AND('Mapa final GC'!$Q$17="Muy Alta",'Mapa final GC'!$U$17="Catastrófico"),CONCATENATE("R",'Mapa final GC'!$A$17),"")</f>
        <v/>
      </c>
      <c r="AO11" s="745"/>
      <c r="AQ11" s="681" t="s">
        <v>77</v>
      </c>
      <c r="AR11" s="682"/>
      <c r="AS11" s="682"/>
      <c r="AT11" s="682"/>
      <c r="AU11" s="682"/>
      <c r="AV11" s="683"/>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row>
    <row r="12" spans="1:101" ht="15" customHeight="1" x14ac:dyDescent="0.25">
      <c r="C12" s="69"/>
      <c r="D12" s="679"/>
      <c r="E12" s="679"/>
      <c r="F12" s="680"/>
      <c r="G12" s="719"/>
      <c r="H12" s="720"/>
      <c r="I12" s="720"/>
      <c r="J12" s="720"/>
      <c r="K12" s="720"/>
      <c r="L12" s="727"/>
      <c r="M12" s="724"/>
      <c r="N12" s="724"/>
      <c r="O12" s="724"/>
      <c r="P12" s="724"/>
      <c r="Q12" s="732"/>
      <c r="R12" s="727"/>
      <c r="S12" s="724"/>
      <c r="T12" s="724"/>
      <c r="U12" s="724"/>
      <c r="V12" s="724"/>
      <c r="W12" s="724"/>
      <c r="X12" s="727"/>
      <c r="Y12" s="724"/>
      <c r="Z12" s="724"/>
      <c r="AA12" s="724"/>
      <c r="AB12" s="724"/>
      <c r="AC12" s="724"/>
      <c r="AD12" s="727"/>
      <c r="AE12" s="724"/>
      <c r="AF12" s="724"/>
      <c r="AG12" s="724"/>
      <c r="AH12" s="724"/>
      <c r="AI12" s="724"/>
      <c r="AJ12" s="740"/>
      <c r="AK12" s="741"/>
      <c r="AL12" s="741"/>
      <c r="AM12" s="741"/>
      <c r="AN12" s="741"/>
      <c r="AO12" s="742"/>
      <c r="AP12" s="69"/>
      <c r="AQ12" s="684"/>
      <c r="AR12" s="685"/>
      <c r="AS12" s="685"/>
      <c r="AT12" s="685"/>
      <c r="AU12" s="685"/>
      <c r="AV12" s="686"/>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row>
    <row r="13" spans="1:101" ht="15" customHeight="1" x14ac:dyDescent="0.25">
      <c r="C13" s="69"/>
      <c r="D13" s="679"/>
      <c r="E13" s="679"/>
      <c r="F13" s="680"/>
      <c r="G13" s="719"/>
      <c r="H13" s="720"/>
      <c r="I13" s="720"/>
      <c r="J13" s="720"/>
      <c r="K13" s="720"/>
      <c r="L13" s="727" t="str">
        <f>IF(AND('Mapa final GC'!$Q$19="Muy Alta",'Mapa final GC'!$U$19="Leve"),CONCATENATE("R",'Mapa final GC'!$A$19),"")</f>
        <v/>
      </c>
      <c r="M13" s="724"/>
      <c r="N13" s="724" t="str">
        <f>IF(AND('Mapa final GC'!$L$20="Muy Alta",'Mapa final GC'!$P$20="Leve"),CONCATENATE("R",'Mapa final GC'!$A$20),"")</f>
        <v/>
      </c>
      <c r="O13" s="724"/>
      <c r="P13" s="724" t="e">
        <f>IF(AND('Mapa final GC'!#REF!="Muy Alta",'Mapa final GC'!#REF!="Leve"),CONCATENATE("R",'Mapa final GC'!#REF!),"")</f>
        <v>#REF!</v>
      </c>
      <c r="Q13" s="732"/>
      <c r="R13" s="727" t="str">
        <f>IF(AND('Mapa final GC'!$Q$19="Muy Alta",'Mapa final GC'!$U$19="Menor"),CONCATENATE("R",'Mapa final GC'!$A$19),"")</f>
        <v/>
      </c>
      <c r="S13" s="724"/>
      <c r="T13" s="724" t="str">
        <f>IF(AND('Mapa final GC'!$Q$20="Muy Alta",'Mapa final GC'!$U$20="Menor"),CONCATENATE("R",'Mapa final GC'!$A$20),"")</f>
        <v/>
      </c>
      <c r="U13" s="724"/>
      <c r="V13" s="724" t="e">
        <f>IF(AND('Mapa final GC'!#REF!="Muy Alta",'Mapa final GC'!#REF!="Menor"),CONCATENATE("R",'Mapa final GC'!#REF!),"")</f>
        <v>#REF!</v>
      </c>
      <c r="W13" s="724"/>
      <c r="X13" s="727" t="str">
        <f>IF(AND('Mapa final GC'!$Q$19="Muy Alta",'Mapa final GC'!$U$19="Moderado"),CONCATENATE("R",'Mapa final GC'!$A$19),"")</f>
        <v/>
      </c>
      <c r="Y13" s="724"/>
      <c r="Z13" s="724" t="str">
        <f>IF(AND('Mapa final GC'!$Q$20="Muy Alta",'Mapa final GC'!$U$20="Moderado"),CONCATENATE("R",'Mapa final GC'!$A$20),"")</f>
        <v/>
      </c>
      <c r="AA13" s="724"/>
      <c r="AB13" s="724" t="e">
        <f>IF(AND('Mapa final GC'!#REF!="Muy Alta",'Mapa final GC'!#REF!="Moderado"),CONCATENATE("R",'Mapa final GC'!#REF!),"")</f>
        <v>#REF!</v>
      </c>
      <c r="AC13" s="724"/>
      <c r="AD13" s="727" t="str">
        <f>IF(AND('Mapa final GC'!$Q$19="Muy Alta",'Mapa final GC'!$U$19="Mayor"),CONCATENATE("R",'Mapa final GC'!$A$19),"")</f>
        <v/>
      </c>
      <c r="AE13" s="724"/>
      <c r="AF13" s="724" t="str">
        <f>IF(AND('Mapa final GC'!$Q$20="Muy Alta",'Mapa final GC'!$U$20="Mayor"),CONCATENATE("R",'Mapa final GC'!$A$20),"")</f>
        <v/>
      </c>
      <c r="AG13" s="724"/>
      <c r="AH13" s="724" t="e">
        <f>IF(AND('Mapa final GC'!#REF!="Muy Alta",'Mapa final GC'!#REF!="Mayor"),CONCATENATE("R",'Mapa final GC'!#REF!),"")</f>
        <v>#REF!</v>
      </c>
      <c r="AI13" s="724"/>
      <c r="AJ13" s="740" t="str">
        <f>IF(AND('Mapa final GC'!$Q$19="Muy Alta",'Mapa final GC'!$U$19="Catastrófico"),CONCATENATE("R",'Mapa final GC'!$A$19),"")</f>
        <v/>
      </c>
      <c r="AK13" s="741"/>
      <c r="AL13" s="741" t="str">
        <f>IF(AND('Mapa final GC'!$Q$20="Muy Alta",'Mapa final GC'!$U$20="Catastrófico"),CONCATENATE("R",'Mapa final GC'!$A$20),"")</f>
        <v/>
      </c>
      <c r="AM13" s="741"/>
      <c r="AN13" s="741" t="e">
        <f>IF(AND('Mapa final GC'!#REF!="Muy Alta",'Mapa final GC'!#REF!="Catastrófico"),CONCATENATE("R",'Mapa final GC'!#REF!),"")</f>
        <v>#REF!</v>
      </c>
      <c r="AO13" s="742"/>
      <c r="AP13" s="69"/>
      <c r="AQ13" s="684"/>
      <c r="AR13" s="685"/>
      <c r="AS13" s="685"/>
      <c r="AT13" s="685"/>
      <c r="AU13" s="685"/>
      <c r="AV13" s="686"/>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row>
    <row r="14" spans="1:101" ht="15" customHeight="1" x14ac:dyDescent="0.25">
      <c r="C14" s="69"/>
      <c r="D14" s="679"/>
      <c r="E14" s="679"/>
      <c r="F14" s="680"/>
      <c r="G14" s="719"/>
      <c r="H14" s="720"/>
      <c r="I14" s="720"/>
      <c r="J14" s="720"/>
      <c r="K14" s="720"/>
      <c r="L14" s="727"/>
      <c r="M14" s="724"/>
      <c r="N14" s="724"/>
      <c r="O14" s="724"/>
      <c r="P14" s="724"/>
      <c r="Q14" s="732"/>
      <c r="R14" s="727"/>
      <c r="S14" s="724"/>
      <c r="T14" s="724"/>
      <c r="U14" s="724"/>
      <c r="V14" s="724"/>
      <c r="W14" s="724"/>
      <c r="X14" s="727"/>
      <c r="Y14" s="724"/>
      <c r="Z14" s="724"/>
      <c r="AA14" s="724"/>
      <c r="AB14" s="724"/>
      <c r="AC14" s="724"/>
      <c r="AD14" s="727"/>
      <c r="AE14" s="724"/>
      <c r="AF14" s="724"/>
      <c r="AG14" s="724"/>
      <c r="AH14" s="724"/>
      <c r="AI14" s="724"/>
      <c r="AJ14" s="740"/>
      <c r="AK14" s="741"/>
      <c r="AL14" s="741"/>
      <c r="AM14" s="741"/>
      <c r="AN14" s="741"/>
      <c r="AO14" s="742"/>
      <c r="AP14" s="69"/>
      <c r="AQ14" s="684"/>
      <c r="AR14" s="685"/>
      <c r="AS14" s="685"/>
      <c r="AT14" s="685"/>
      <c r="AU14" s="685"/>
      <c r="AV14" s="686"/>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row>
    <row r="15" spans="1:101" ht="15" customHeight="1" x14ac:dyDescent="0.25">
      <c r="C15" s="69"/>
      <c r="D15" s="679"/>
      <c r="E15" s="679"/>
      <c r="F15" s="680"/>
      <c r="G15" s="719"/>
      <c r="H15" s="720"/>
      <c r="I15" s="720"/>
      <c r="J15" s="720"/>
      <c r="K15" s="720"/>
      <c r="L15" s="727" t="str">
        <f>IF(AND('Mapa final GC'!$Q$21="Muy Alta",'Mapa final GC'!$U$21="Leve"),CONCATENATE("R",'Mapa final GC'!$A$21),"")</f>
        <v/>
      </c>
      <c r="M15" s="724"/>
      <c r="N15" s="724" t="str">
        <f>IF(AND('Mapa final GC'!$L$22="Muy Alta",'Mapa final GC'!$P$22="Leve"),CONCATENATE("R",'Mapa final GC'!$A$22),"")</f>
        <v/>
      </c>
      <c r="O15" s="724"/>
      <c r="P15" s="724" t="str">
        <f>IF(AND('Mapa final GC'!$L$23="Muy Alta",'Mapa final GC'!$P$23="Leve"),CONCATENATE("R",'Mapa final GC'!$A$23),"")</f>
        <v/>
      </c>
      <c r="Q15" s="732"/>
      <c r="R15" s="727" t="str">
        <f>IF(AND('Mapa final GC'!$Q$21="Muy Alta",'Mapa final GC'!$U$21="Menor"),CONCATENATE("R",'Mapa final GC'!$A$21),"")</f>
        <v/>
      </c>
      <c r="S15" s="724"/>
      <c r="T15" s="724" t="str">
        <f>IF(AND('Mapa final GC'!$LR$22="Muy Alta",'Mapa final GC'!$U$22="Menor"),CONCATENATE("R",'Mapa final GC'!$A$22),"")</f>
        <v/>
      </c>
      <c r="U15" s="724"/>
      <c r="V15" s="724" t="str">
        <f>IF(AND('Mapa final GC'!$Q$23="Muy Alta",'Mapa final GC'!$U$23="Menor"),CONCATENATE("R",'Mapa final GC'!$A$23),"")</f>
        <v/>
      </c>
      <c r="W15" s="724"/>
      <c r="X15" s="727" t="str">
        <f>IF(AND('Mapa final GC'!$Q$21="Muy Alta",'Mapa final GC'!$U$21="Moderado"),CONCATENATE("R",'Mapa final GC'!$A$21),"")</f>
        <v/>
      </c>
      <c r="Y15" s="724"/>
      <c r="Z15" s="724" t="str">
        <f>IF(AND('Mapa final GC'!$Q$22="Muy Alta",'Mapa final GC'!$U$22="Moderado"),CONCATENATE("R",'Mapa final GC'!$A$22),"")</f>
        <v/>
      </c>
      <c r="AA15" s="724"/>
      <c r="AB15" s="724" t="str">
        <f>IF(AND('Mapa final GC'!$Q$23="Muy Alta",'Mapa final GC'!$U$23="Moderado"),CONCATENATE("R",'Mapa final GC'!$A$23),"")</f>
        <v/>
      </c>
      <c r="AC15" s="724"/>
      <c r="AD15" s="727" t="str">
        <f>IF(AND('Mapa final GC'!$Q$21="Muy Alta",'Mapa final GC'!$U$21="Mayor"),CONCATENATE("R",'Mapa final GC'!$A$21),"")</f>
        <v/>
      </c>
      <c r="AE15" s="724"/>
      <c r="AF15" s="724" t="str">
        <f>IF(AND('Mapa final GC'!$Q$22="Muy Alta",'Mapa final GC'!$U$22="Mayor"),CONCATENATE("R",'Mapa final GC'!$A$22),"")</f>
        <v/>
      </c>
      <c r="AG15" s="724"/>
      <c r="AH15" s="724" t="str">
        <f>IF(AND('Mapa final GC'!$Q$23="Muy Alta",'Mapa final GC'!$U$23="Mayor"),CONCATENATE("R",'Mapa final GC'!$A$23),"")</f>
        <v/>
      </c>
      <c r="AI15" s="724"/>
      <c r="AJ15" s="740" t="str">
        <f>IF(AND('Mapa final GC'!$Q$21="Muy Alta",'Mapa final GC'!$U$21="Catastrófico"),CONCATENATE("R",'Mapa final GC'!$A$21),"")</f>
        <v/>
      </c>
      <c r="AK15" s="741"/>
      <c r="AL15" s="741" t="str">
        <f>IF(AND('Mapa final GC'!$Q$22="Muy Alta",'Mapa final GC'!$U$22="Catastrófico"),CONCATENATE("R",'Mapa final GC'!$A$22),"")</f>
        <v/>
      </c>
      <c r="AM15" s="741"/>
      <c r="AN15" s="741" t="str">
        <f>IF(AND('Mapa final GC'!$Q$23="Muy Alta",'Mapa final GC'!$U$23="Catastrófico"),CONCATENATE("R",'Mapa final GC'!$A$23),"")</f>
        <v/>
      </c>
      <c r="AO15" s="742"/>
      <c r="AP15" s="69"/>
      <c r="AQ15" s="684"/>
      <c r="AR15" s="685"/>
      <c r="AS15" s="685"/>
      <c r="AT15" s="685"/>
      <c r="AU15" s="685"/>
      <c r="AV15" s="686"/>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row>
    <row r="16" spans="1:101" ht="15" customHeight="1" x14ac:dyDescent="0.25">
      <c r="C16" s="69"/>
      <c r="D16" s="679"/>
      <c r="E16" s="679"/>
      <c r="F16" s="680"/>
      <c r="G16" s="719"/>
      <c r="H16" s="720"/>
      <c r="I16" s="720"/>
      <c r="J16" s="720"/>
      <c r="K16" s="720"/>
      <c r="L16" s="727"/>
      <c r="M16" s="724"/>
      <c r="N16" s="724"/>
      <c r="O16" s="724"/>
      <c r="P16" s="724"/>
      <c r="Q16" s="732"/>
      <c r="R16" s="727"/>
      <c r="S16" s="724"/>
      <c r="T16" s="724"/>
      <c r="U16" s="724"/>
      <c r="V16" s="724"/>
      <c r="W16" s="724"/>
      <c r="X16" s="727"/>
      <c r="Y16" s="724"/>
      <c r="Z16" s="724"/>
      <c r="AA16" s="724"/>
      <c r="AB16" s="724"/>
      <c r="AC16" s="724"/>
      <c r="AD16" s="727"/>
      <c r="AE16" s="724"/>
      <c r="AF16" s="724"/>
      <c r="AG16" s="724"/>
      <c r="AH16" s="724"/>
      <c r="AI16" s="724"/>
      <c r="AJ16" s="740"/>
      <c r="AK16" s="741"/>
      <c r="AL16" s="741"/>
      <c r="AM16" s="741"/>
      <c r="AN16" s="741"/>
      <c r="AO16" s="742"/>
      <c r="AP16" s="69"/>
      <c r="AQ16" s="684"/>
      <c r="AR16" s="685"/>
      <c r="AS16" s="685"/>
      <c r="AT16" s="685"/>
      <c r="AU16" s="685"/>
      <c r="AV16" s="686"/>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row>
    <row r="17" spans="3:82" ht="15" customHeight="1" x14ac:dyDescent="0.25">
      <c r="C17" s="69"/>
      <c r="D17" s="679"/>
      <c r="E17" s="679"/>
      <c r="F17" s="680"/>
      <c r="G17" s="719"/>
      <c r="H17" s="720"/>
      <c r="I17" s="720"/>
      <c r="J17" s="720"/>
      <c r="K17" s="720"/>
      <c r="L17" s="727" t="str">
        <f>IF(AND('Mapa final GC'!$Q$24="Muy Alta",'Mapa final GC'!$U$24="Leve"),CONCATENATE("R",'Mapa final GC'!$A$24),"")</f>
        <v/>
      </c>
      <c r="M17" s="724"/>
      <c r="N17" s="724" t="str">
        <f>IF(AND('Mapa final GC'!$L$25="Muy Alta",'Mapa final GC'!$P$25="Leve"),CONCATENATE("R",'Mapa final GC'!$A$25),"")</f>
        <v/>
      </c>
      <c r="O17" s="724"/>
      <c r="P17" s="724" t="str">
        <f>IF(AND('Mapa final GC'!$L$26="Muy Alta",'Mapa final GC'!$P$26="Leve"),CONCATENATE("R",'Mapa final GC'!$A$26),"")</f>
        <v/>
      </c>
      <c r="Q17" s="732"/>
      <c r="R17" s="727" t="str">
        <f>IF(AND('Mapa final GC'!$Q$24="Muy Alta",'Mapa final GC'!$U$24="Menor"),CONCATENATE("R",'Mapa final GC'!$A$24),"")</f>
        <v/>
      </c>
      <c r="S17" s="724"/>
      <c r="T17" s="724" t="str">
        <f>IF(AND('Mapa final GC'!$Q$25="Muy Alta",'Mapa final GC'!$U$25="Menor"),CONCATENATE("R",'Mapa final GC'!$A$25),"")</f>
        <v/>
      </c>
      <c r="U17" s="724"/>
      <c r="V17" s="724" t="str">
        <f>IF(AND('Mapa final GC'!$Q$26="Muy Alta",'Mapa final GC'!$U$26="Menor"),CONCATENATE("R",'Mapa final GC'!$A$26),"")</f>
        <v/>
      </c>
      <c r="W17" s="724"/>
      <c r="X17" s="727" t="str">
        <f>IF(AND('Mapa final GC'!$Q$24="Muy Alta",'Mapa final GC'!$U$24="Moderado"),CONCATENATE("R",'Mapa final GC'!$A$24),"")</f>
        <v/>
      </c>
      <c r="Y17" s="724"/>
      <c r="Z17" s="724" t="str">
        <f>IF(AND('Mapa final GC'!$Q$25="Muy Alta",'Mapa final GC'!$U$25="Moderado"),CONCATENATE("R",'Mapa final GC'!$A$25),"")</f>
        <v/>
      </c>
      <c r="AA17" s="724"/>
      <c r="AB17" s="724" t="str">
        <f>IF(AND('Mapa final GC'!$Q$26="Muy Alta",'Mapa final GC'!$U$26="Moderado"),CONCATENATE("R",'Mapa final GC'!$A$26),"")</f>
        <v/>
      </c>
      <c r="AC17" s="724"/>
      <c r="AD17" s="727" t="str">
        <f>IF(AND('Mapa final GC'!$Q$24="Muy Alta",'Mapa final GC'!$U$24="Mayor"),CONCATENATE("R",'Mapa final GC'!$A$24),"")</f>
        <v/>
      </c>
      <c r="AE17" s="724"/>
      <c r="AF17" s="724" t="str">
        <f>IF(AND('Mapa final GC'!$Q$25="Muy Alta",'Mapa final GC'!$U$25="Mayor"),CONCATENATE("R",'Mapa final GC'!$A$25),"")</f>
        <v/>
      </c>
      <c r="AG17" s="724"/>
      <c r="AH17" s="724" t="str">
        <f>IF(AND('Mapa final GC'!$Q$26="Muy Alta",'Mapa final GC'!$U$26="Mayor"),CONCATENATE("R",'Mapa final GC'!$A$26),"")</f>
        <v/>
      </c>
      <c r="AI17" s="724"/>
      <c r="AJ17" s="740" t="str">
        <f>IF(AND('Mapa final GC'!$Q$24="Muy Alta",'Mapa final GC'!$U$24="Catastrófico"),CONCATENATE("R",'Mapa final GC'!$A$24),"")</f>
        <v/>
      </c>
      <c r="AK17" s="741"/>
      <c r="AL17" s="741" t="str">
        <f>IF(AND('Mapa final GC'!$Q$25="Muy Alta",'Mapa final GC'!$U$25="Catastrófico"),CONCATENATE("R",'Mapa final GC'!$A$25),"")</f>
        <v/>
      </c>
      <c r="AM17" s="741"/>
      <c r="AN17" s="741" t="str">
        <f>IF(AND('Mapa final GC'!$Q$26="Muy Alta",'Mapa final GC'!$U$26="Catastrófico"),CONCATENATE("R",'Mapa final GC'!$A$26),"")</f>
        <v/>
      </c>
      <c r="AO17" s="742"/>
      <c r="AP17" s="69"/>
      <c r="AQ17" s="684"/>
      <c r="AR17" s="685"/>
      <c r="AS17" s="685"/>
      <c r="AT17" s="685"/>
      <c r="AU17" s="685"/>
      <c r="AV17" s="686"/>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row>
    <row r="18" spans="3:82" ht="15.75" customHeight="1" thickBot="1" x14ac:dyDescent="0.3">
      <c r="C18" s="69"/>
      <c r="D18" s="679"/>
      <c r="E18" s="679"/>
      <c r="F18" s="680"/>
      <c r="G18" s="721"/>
      <c r="H18" s="722"/>
      <c r="I18" s="722"/>
      <c r="J18" s="722"/>
      <c r="K18" s="722"/>
      <c r="L18" s="738"/>
      <c r="M18" s="733"/>
      <c r="N18" s="733"/>
      <c r="O18" s="733"/>
      <c r="P18" s="733"/>
      <c r="Q18" s="734"/>
      <c r="R18" s="738"/>
      <c r="S18" s="733"/>
      <c r="T18" s="733"/>
      <c r="U18" s="733"/>
      <c r="V18" s="733"/>
      <c r="W18" s="733"/>
      <c r="X18" s="727"/>
      <c r="Y18" s="724"/>
      <c r="Z18" s="724"/>
      <c r="AA18" s="724"/>
      <c r="AB18" s="724"/>
      <c r="AC18" s="724"/>
      <c r="AD18" s="727"/>
      <c r="AE18" s="724"/>
      <c r="AF18" s="724"/>
      <c r="AG18" s="724"/>
      <c r="AH18" s="724"/>
      <c r="AI18" s="724"/>
      <c r="AJ18" s="740"/>
      <c r="AK18" s="741"/>
      <c r="AL18" s="741"/>
      <c r="AM18" s="741"/>
      <c r="AN18" s="741"/>
      <c r="AO18" s="742"/>
      <c r="AP18" s="69"/>
      <c r="AQ18" s="687"/>
      <c r="AR18" s="688"/>
      <c r="AS18" s="688"/>
      <c r="AT18" s="688"/>
      <c r="AU18" s="688"/>
      <c r="AV18" s="68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row>
    <row r="19" spans="3:82" ht="15" customHeight="1" x14ac:dyDescent="0.25">
      <c r="C19" s="69"/>
      <c r="D19" s="679"/>
      <c r="E19" s="679"/>
      <c r="F19" s="680"/>
      <c r="G19" s="717" t="s">
        <v>113</v>
      </c>
      <c r="H19" s="718"/>
      <c r="I19" s="718"/>
      <c r="J19" s="718"/>
      <c r="K19" s="718"/>
      <c r="L19" s="753" t="str">
        <f>IF(AND('Mapa final GC'!$Q$15="Alta",'Mapa final GC'!$U$15="Leve"),CONCATENATE("R",'Mapa final GC'!$A$15),"")</f>
        <v/>
      </c>
      <c r="M19" s="754"/>
      <c r="N19" s="754" t="str">
        <f>IF(AND('Mapa final AU'!$Q$16="Alta",'Mapa final AU'!$U$16="Leve"),CONCATENATE("R",'Mapa final AU'!$D$16),"")</f>
        <v>R2AU</v>
      </c>
      <c r="O19" s="754"/>
      <c r="P19" s="754" t="str">
        <f>IF(AND('Mapa final GC'!$L$17="Alta",'Mapa final GC'!$P$17="Leve"),CONCATENATE("R",'Mapa final GC'!$A$17),"")</f>
        <v/>
      </c>
      <c r="Q19" s="755"/>
      <c r="R19" s="753" t="str">
        <f>IF(AND('Mapa final GC'!$Q$15="Alta",'Mapa final GC'!$U$15="Menor"),CONCATENATE("R",'Mapa final GC'!$A$15),"")</f>
        <v/>
      </c>
      <c r="S19" s="754"/>
      <c r="T19" s="736" t="str">
        <f>IF(AND('Mapa final GC'!$Q$16="Alta",'Mapa final GC'!$U$16="Menor"),CONCATENATE("R",'Mapa final GC'!$A$16),"")</f>
        <v/>
      </c>
      <c r="U19" s="736"/>
      <c r="V19" s="736" t="str">
        <f>IF(AND('Mapa final GC'!$Q$17="Alta",'Mapa final GC'!$U$17="Menor"),CONCATENATE("R",'Mapa final GC'!$A$17),"")</f>
        <v/>
      </c>
      <c r="W19" s="736"/>
      <c r="X19" s="725" t="str">
        <f>IF(AND('Mapa final AU'!$Q$15="Alta",'Mapa final GC'!$U$15="Moderado"),CONCATENATE("R",'Mapa final GC'!$A$15),"")</f>
        <v/>
      </c>
      <c r="Y19" s="726"/>
      <c r="Z19" s="726" t="str">
        <f>IF(AND('Mapa final AU'!Q$16="Alta",'Mapa final AU'!$U$16="Moderado"),CONCATENATE("R",'Mapa final AU'!$D$16),"")</f>
        <v/>
      </c>
      <c r="AA19" s="726"/>
      <c r="AB19" s="726" t="str">
        <f>IF(AND('Mapa final GC'!$Q$17="Alta",'Mapa final GC'!$U$17="Moderado"),CONCATENATE("R",'Mapa final GC'!$A$17),"")</f>
        <v/>
      </c>
      <c r="AC19" s="726"/>
      <c r="AD19" s="725" t="str">
        <f>IF(AND('Mapa final GC'!$Q$15="Alta",'Mapa final GC'!$U$15="Mayor"),CONCATENATE("R",'Mapa final GC'!$A$15),"")</f>
        <v/>
      </c>
      <c r="AE19" s="726"/>
      <c r="AF19" s="726" t="str">
        <f>IF(AND('Mapa final GC'!$Q$16="Alta",'Mapa final GC'!$U$16="Mayor"),CONCATENATE("R",'Mapa final GC'!$A$16),"")</f>
        <v/>
      </c>
      <c r="AG19" s="726"/>
      <c r="AH19" s="726" t="str">
        <f>IF(AND('Mapa final GC'!$Q$17="Alta",'Mapa final GC'!$U$17="Mayor"),CONCATENATE("R",'Mapa final GC'!$A$17),"")</f>
        <v/>
      </c>
      <c r="AI19" s="726"/>
      <c r="AJ19" s="743" t="str">
        <f>IF(AND('Mapa final SGI'!$Q$15="Alta",'Mapa final SGI'!$U$15="Catastrófico"),CONCATENATE("R",'Mapa final SGI'!$D$15),"")</f>
        <v/>
      </c>
      <c r="AK19" s="744"/>
      <c r="AL19" s="744" t="str">
        <f>IF(AND('Mapa final SGI'!$Q$15="Alta",'Mapa final SGI'!$U$15="Catastrófico"),CONCATENATE("R",'Mapa final SGI'!$D$15),"")</f>
        <v/>
      </c>
      <c r="AM19" s="744"/>
      <c r="AN19" s="744" t="str">
        <f>IF(AND('Mapa final GC'!$Q$17="Alta",'Mapa final GC'!$U$17="Catastrófico"),CONCATENATE("R",'Mapa final GC'!$A$17),"")</f>
        <v/>
      </c>
      <c r="AO19" s="745"/>
      <c r="AP19" s="69"/>
      <c r="AQ19" s="690" t="s">
        <v>78</v>
      </c>
      <c r="AR19" s="691"/>
      <c r="AS19" s="691"/>
      <c r="AT19" s="691"/>
      <c r="AU19" s="691"/>
      <c r="AV19" s="692"/>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row>
    <row r="20" spans="3:82" ht="15" customHeight="1" x14ac:dyDescent="0.25">
      <c r="C20" s="69"/>
      <c r="D20" s="679"/>
      <c r="E20" s="679"/>
      <c r="F20" s="680"/>
      <c r="G20" s="719"/>
      <c r="H20" s="720"/>
      <c r="I20" s="720"/>
      <c r="J20" s="720"/>
      <c r="K20" s="720"/>
      <c r="L20" s="735"/>
      <c r="M20" s="736"/>
      <c r="N20" s="736"/>
      <c r="O20" s="736"/>
      <c r="P20" s="736"/>
      <c r="Q20" s="749"/>
      <c r="R20" s="735"/>
      <c r="S20" s="736"/>
      <c r="T20" s="736"/>
      <c r="U20" s="736"/>
      <c r="V20" s="736"/>
      <c r="W20" s="736"/>
      <c r="X20" s="727"/>
      <c r="Y20" s="724"/>
      <c r="Z20" s="724"/>
      <c r="AA20" s="724"/>
      <c r="AB20" s="724"/>
      <c r="AC20" s="724"/>
      <c r="AD20" s="727"/>
      <c r="AE20" s="724"/>
      <c r="AF20" s="724"/>
      <c r="AG20" s="724"/>
      <c r="AH20" s="724"/>
      <c r="AI20" s="724"/>
      <c r="AJ20" s="740"/>
      <c r="AK20" s="741"/>
      <c r="AL20" s="741"/>
      <c r="AM20" s="741"/>
      <c r="AN20" s="741"/>
      <c r="AO20" s="742"/>
      <c r="AP20" s="69"/>
      <c r="AQ20" s="693"/>
      <c r="AR20" s="694"/>
      <c r="AS20" s="694"/>
      <c r="AT20" s="694"/>
      <c r="AU20" s="694"/>
      <c r="AV20" s="695"/>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row>
    <row r="21" spans="3:82" ht="15" customHeight="1" x14ac:dyDescent="0.25">
      <c r="C21" s="69"/>
      <c r="D21" s="679"/>
      <c r="E21" s="679"/>
      <c r="F21" s="680"/>
      <c r="G21" s="719"/>
      <c r="H21" s="720"/>
      <c r="I21" s="720"/>
      <c r="J21" s="720"/>
      <c r="K21" s="720"/>
      <c r="L21" s="735" t="str">
        <f>IF(AND('Mapa final GC'!$Q$19="Alta",'Mapa final GC'!$U$19="Leve"),CONCATENATE("R",'Mapa final GC'!$A$19),"")</f>
        <v/>
      </c>
      <c r="M21" s="736"/>
      <c r="N21" s="736" t="str">
        <f>IF(AND('Mapa final GC'!$L$20="Alta",'Mapa final GC'!$P$20="Leve"),CONCATENATE("R",'Mapa final GC'!$A$20),"")</f>
        <v/>
      </c>
      <c r="O21" s="736"/>
      <c r="P21" s="736" t="e">
        <f>IF(AND('Mapa final GC'!#REF!="Alta",'Mapa final GC'!#REF!="Leve"),CONCATENATE("R",'Mapa final GC'!#REF!),"")</f>
        <v>#REF!</v>
      </c>
      <c r="Q21" s="749"/>
      <c r="R21" s="735" t="str">
        <f>IF(AND('Mapa final GC'!$Q$19="Alta",'Mapa final GC'!$U$19="Menor"),CONCATENATE("R",'Mapa final GC'!$A$19),"")</f>
        <v/>
      </c>
      <c r="S21" s="736"/>
      <c r="T21" s="736" t="str">
        <f>IF(AND('Mapa final GC'!$Q$20="Alta",'Mapa final GC'!$U$20="Menor"),CONCATENATE("R",'Mapa final GC'!$A$20),"")</f>
        <v/>
      </c>
      <c r="U21" s="736"/>
      <c r="V21" s="736" t="e">
        <f>IF(AND('Mapa final GC'!#REF!="Alta",'Mapa final GC'!#REF!="Menor"),CONCATENATE("R",'Mapa final GC'!#REF!),"")</f>
        <v>#REF!</v>
      </c>
      <c r="W21" s="736"/>
      <c r="X21" s="727" t="str">
        <f>IF(AND('Mapa final GC'!$Q$19="Alta",'Mapa final GC'!$U$19="Moderado"),CONCATENATE("R",'Mapa final GC'!$A$19),"")</f>
        <v/>
      </c>
      <c r="Y21" s="724"/>
      <c r="Z21" s="724" t="str">
        <f>IF(AND('Mapa final SST'!$S$18="Alta",'Mapa final SST'!$W$18="Moderado"),CONCATENATE("R",'Mapa final SST'!$D$18),"")</f>
        <v>R2SST</v>
      </c>
      <c r="AA21" s="724"/>
      <c r="AB21" s="724" t="e">
        <f>IF(AND('Mapa final GC'!#REF!="Alta",'Mapa final GC'!#REF!="Moderado"),CONCATENATE("R",'Mapa final GC'!#REF!),"")</f>
        <v>#REF!</v>
      </c>
      <c r="AC21" s="724"/>
      <c r="AD21" s="727" t="str">
        <f>IF(AND('Mapa final GC'!$Q$19="Alta",'Mapa final GC'!$U$19="Mayor"),CONCATENATE("R",'Mapa final GC'!$A$19),"")</f>
        <v/>
      </c>
      <c r="AE21" s="724"/>
      <c r="AF21" s="724" t="str">
        <f>IF(AND('Mapa final GC'!$Q$20="Alta",'Mapa final GC'!$U$20="Mayor"),CONCATENATE("R",'Mapa final GC'!$A$20),"")</f>
        <v/>
      </c>
      <c r="AG21" s="724"/>
      <c r="AH21" s="724" t="e">
        <f>IF(AND('Mapa final GC'!#REF!="Alta",'Mapa final GC'!#REF!="Mayor"),CONCATENATE("R",'Mapa final GC'!#REF!),"")</f>
        <v>#REF!</v>
      </c>
      <c r="AI21" s="724"/>
      <c r="AJ21" s="740" t="str">
        <f>IF(AND('Mapa final GC'!$Q$19="Alta",'Mapa final GC'!$U$19="Catastrófico"),CONCATENATE("R",'Mapa final GC'!$A$19),"")</f>
        <v/>
      </c>
      <c r="AK21" s="741"/>
      <c r="AL21" s="741" t="str">
        <f>IF(AND('Mapa final GC'!$Q$20="Alta",'Mapa final GC'!$U$20="Catastrófico"),CONCATENATE("R",'Mapa final GC'!$A$20),"")</f>
        <v/>
      </c>
      <c r="AM21" s="741"/>
      <c r="AN21" s="741" t="e">
        <f>IF(AND('Mapa final GC'!#REF!="Alta",'Mapa final GC'!#REF!="Catastrófico"),CONCATENATE("R",'Mapa final GC'!#REF!),"")</f>
        <v>#REF!</v>
      </c>
      <c r="AO21" s="742"/>
      <c r="AP21" s="69"/>
      <c r="AQ21" s="693"/>
      <c r="AR21" s="694"/>
      <c r="AS21" s="694"/>
      <c r="AT21" s="694"/>
      <c r="AU21" s="694"/>
      <c r="AV21" s="695"/>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row>
    <row r="22" spans="3:82" ht="15" customHeight="1" x14ac:dyDescent="0.25">
      <c r="C22" s="69"/>
      <c r="D22" s="679"/>
      <c r="E22" s="679"/>
      <c r="F22" s="680"/>
      <c r="G22" s="719"/>
      <c r="H22" s="720"/>
      <c r="I22" s="720"/>
      <c r="J22" s="720"/>
      <c r="K22" s="720"/>
      <c r="L22" s="735"/>
      <c r="M22" s="736"/>
      <c r="N22" s="736"/>
      <c r="O22" s="736"/>
      <c r="P22" s="736"/>
      <c r="Q22" s="749"/>
      <c r="R22" s="735"/>
      <c r="S22" s="736"/>
      <c r="T22" s="736"/>
      <c r="U22" s="736"/>
      <c r="V22" s="736"/>
      <c r="W22" s="736"/>
      <c r="X22" s="727"/>
      <c r="Y22" s="724"/>
      <c r="Z22" s="724"/>
      <c r="AA22" s="724"/>
      <c r="AB22" s="724"/>
      <c r="AC22" s="724"/>
      <c r="AD22" s="727"/>
      <c r="AE22" s="724"/>
      <c r="AF22" s="724"/>
      <c r="AG22" s="724"/>
      <c r="AH22" s="724"/>
      <c r="AI22" s="724"/>
      <c r="AJ22" s="740"/>
      <c r="AK22" s="741"/>
      <c r="AL22" s="741"/>
      <c r="AM22" s="741"/>
      <c r="AN22" s="741"/>
      <c r="AO22" s="742"/>
      <c r="AP22" s="69"/>
      <c r="AQ22" s="693"/>
      <c r="AR22" s="694"/>
      <c r="AS22" s="694"/>
      <c r="AT22" s="694"/>
      <c r="AU22" s="694"/>
      <c r="AV22" s="695"/>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row>
    <row r="23" spans="3:82" ht="15" customHeight="1" x14ac:dyDescent="0.25">
      <c r="C23" s="69"/>
      <c r="D23" s="679"/>
      <c r="E23" s="679"/>
      <c r="F23" s="680"/>
      <c r="G23" s="719"/>
      <c r="H23" s="720"/>
      <c r="I23" s="720"/>
      <c r="J23" s="720"/>
      <c r="K23" s="720"/>
      <c r="L23" s="735" t="str">
        <f>IF(AND('Mapa final GC'!$Q$21="Alta",'Mapa final GC'!$U$21="Leve"),CONCATENATE("R",'Mapa final GC'!$A$21),"")</f>
        <v/>
      </c>
      <c r="M23" s="736"/>
      <c r="N23" s="736" t="str">
        <f>IF(AND('Mapa final SST'!$Q$18="Alta",'Mapa final SST'!$U$23="Leve"),CONCATENATE("R",'Mapa final SST'!$A$18),"")</f>
        <v/>
      </c>
      <c r="O23" s="736"/>
      <c r="P23" s="736" t="str">
        <f>IF(AND('Mapa final GC'!$L$23="Alta",'Mapa final GC'!$P$23="Leve"),CONCATENATE("R",'Mapa final GC'!$A$23),"")</f>
        <v/>
      </c>
      <c r="Q23" s="749"/>
      <c r="R23" s="735" t="str">
        <f>IF(AND('Mapa final GC'!$Q$21="Alta",'Mapa final GC'!$U$21="Menor"),CONCATENATE("R",'Mapa final GC'!$A$21),"")</f>
        <v/>
      </c>
      <c r="S23" s="736"/>
      <c r="T23" s="736" t="str">
        <f>IF(AND('Mapa final GC'!$LR$22="Alta",'Mapa final GC'!$U$22="Menor"),CONCATENATE("R",'Mapa final GC'!$A$22),"")</f>
        <v/>
      </c>
      <c r="U23" s="736"/>
      <c r="V23" s="736" t="str">
        <f>IF(AND('Mapa final GC'!$Q$23="Alta",'Mapa final GC'!$U$23="Menor"),CONCATENATE("R",'Mapa final GC'!$A$23),"")</f>
        <v/>
      </c>
      <c r="W23" s="736"/>
      <c r="X23" s="727" t="str">
        <f>IF(AND('Mapa final GC'!$Q$21="Alta",'Mapa final GC'!$U$21="Moderado"),CONCATENATE("R",'Mapa final GC'!$A$21),"")</f>
        <v/>
      </c>
      <c r="Y23" s="724"/>
      <c r="Z23" s="724" t="str">
        <f>IF(AND('Mapa final SST'!$Q$18="Alta",'Mapa final SST'!$U$18="Moderado"),CONCATENATE("R",'Mapa final SST'!$D$18),"")</f>
        <v/>
      </c>
      <c r="AA23" s="724"/>
      <c r="AB23" s="724" t="str">
        <f>IF(AND('Mapa final GC'!$Q$23="Alta",'Mapa final GC'!$U$23="Moderado"),CONCATENATE("R",'Mapa final GC'!$A$23),"")</f>
        <v/>
      </c>
      <c r="AC23" s="724"/>
      <c r="AD23" s="727" t="str">
        <f>IF(AND('Mapa final SI'!$Q$22="Alta",'Mapa final SI'!$U$22="Mayor"),CONCATENATE("R",'Mapa final SI'!$D$22),"")</f>
        <v>R2SI</v>
      </c>
      <c r="AE23" s="724"/>
      <c r="AF23" s="724" t="str">
        <f>IF(AND('Mapa final GC'!$Q$22="Alta",'Mapa final GC'!$U$22="Mayor"),CONCATENATE("R",'Mapa final GC'!$A$22),"")</f>
        <v/>
      </c>
      <c r="AG23" s="724"/>
      <c r="AH23" s="724" t="str">
        <f>IF(AND('Mapa final GC'!$Q$23="Alta",'Mapa final GC'!$U$23="Mayor"),CONCATENATE("R",'Mapa final GC'!$A$23),"")</f>
        <v/>
      </c>
      <c r="AI23" s="724"/>
      <c r="AJ23" s="740" t="str">
        <f>IF(AND('Mapa final GC'!$Q$21="Alta",'Mapa final GC'!$U$21="Catastrófico"),CONCATENATE("R",'Mapa final GC'!$A$21),"")</f>
        <v/>
      </c>
      <c r="AK23" s="741"/>
      <c r="AL23" s="741" t="str">
        <f>IF(AND('Mapa final GC'!$Q$22="Alta",'Mapa final GC'!$U$22="Catastrófico"),CONCATENATE("R",'Mapa final GC'!$A$22),"")</f>
        <v/>
      </c>
      <c r="AM23" s="741"/>
      <c r="AN23" s="741" t="str">
        <f>IF(AND('Mapa final GC'!$Q$23="Alta",'Mapa final GC'!$U$23="Catastrófico"),CONCATENATE("R",'Mapa final GC'!$A$23),"")</f>
        <v/>
      </c>
      <c r="AO23" s="742"/>
      <c r="AP23" s="69"/>
      <c r="AQ23" s="693"/>
      <c r="AR23" s="694"/>
      <c r="AS23" s="694"/>
      <c r="AT23" s="694"/>
      <c r="AU23" s="694"/>
      <c r="AV23" s="695"/>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row>
    <row r="24" spans="3:82" ht="15" customHeight="1" x14ac:dyDescent="0.25">
      <c r="C24" s="69"/>
      <c r="D24" s="679"/>
      <c r="E24" s="679"/>
      <c r="F24" s="680"/>
      <c r="G24" s="719"/>
      <c r="H24" s="720"/>
      <c r="I24" s="720"/>
      <c r="J24" s="720"/>
      <c r="K24" s="720"/>
      <c r="L24" s="735"/>
      <c r="M24" s="736"/>
      <c r="N24" s="736"/>
      <c r="O24" s="736"/>
      <c r="P24" s="736"/>
      <c r="Q24" s="749"/>
      <c r="R24" s="735"/>
      <c r="S24" s="736"/>
      <c r="T24" s="736"/>
      <c r="U24" s="736"/>
      <c r="V24" s="736"/>
      <c r="W24" s="736"/>
      <c r="X24" s="727"/>
      <c r="Y24" s="724"/>
      <c r="Z24" s="724"/>
      <c r="AA24" s="724"/>
      <c r="AB24" s="724"/>
      <c r="AC24" s="724"/>
      <c r="AD24" s="727"/>
      <c r="AE24" s="724"/>
      <c r="AF24" s="724"/>
      <c r="AG24" s="724"/>
      <c r="AH24" s="724"/>
      <c r="AI24" s="724"/>
      <c r="AJ24" s="740"/>
      <c r="AK24" s="741"/>
      <c r="AL24" s="741"/>
      <c r="AM24" s="741"/>
      <c r="AN24" s="741"/>
      <c r="AO24" s="742"/>
      <c r="AP24" s="69"/>
      <c r="AQ24" s="693"/>
      <c r="AR24" s="694"/>
      <c r="AS24" s="694"/>
      <c r="AT24" s="694"/>
      <c r="AU24" s="694"/>
      <c r="AV24" s="695"/>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row>
    <row r="25" spans="3:82" ht="15" customHeight="1" x14ac:dyDescent="0.25">
      <c r="C25" s="69"/>
      <c r="D25" s="679"/>
      <c r="E25" s="679"/>
      <c r="F25" s="680"/>
      <c r="G25" s="719"/>
      <c r="H25" s="720"/>
      <c r="I25" s="720"/>
      <c r="J25" s="720"/>
      <c r="K25" s="720"/>
      <c r="L25" s="735" t="str">
        <f>IF(AND('Mapa final GC'!$Q$24="Alta",'Mapa final GC'!$U$24="Leve"),CONCATENATE("R",'Mapa final GC'!$A$24),"")</f>
        <v/>
      </c>
      <c r="M25" s="736"/>
      <c r="N25" s="736" t="str">
        <f>IF(AND('Mapa final GC'!$L$25="Alta",'Mapa final GC'!$P$25="Leve"),CONCATENATE("R",'Mapa final GC'!$A$25),"")</f>
        <v/>
      </c>
      <c r="O25" s="736"/>
      <c r="P25" s="736" t="str">
        <f>IF(AND('Mapa final GC'!$L$26="Alta",'Mapa final GC'!$P$26="Leve"),CONCATENATE("R",'Mapa final GC'!$A$26),"")</f>
        <v/>
      </c>
      <c r="Q25" s="749"/>
      <c r="R25" s="735" t="str">
        <f>IF(AND('Mapa final GC'!$Q$24="Alta",'Mapa final GC'!$U$24="Menor"),CONCATENATE("R",'Mapa final GC'!$A$24),"")</f>
        <v/>
      </c>
      <c r="S25" s="736"/>
      <c r="T25" s="736" t="str">
        <f>IF(AND('Mapa final GC'!$Q$25="Alta",'Mapa final GC'!$U$25="Menor"),CONCATENATE("R",'Mapa final GC'!$A$25),"")</f>
        <v/>
      </c>
      <c r="U25" s="736"/>
      <c r="V25" s="736" t="str">
        <f>IF(AND('Mapa final GC'!$Q$26="Alta",'Mapa final GC'!$U$26="Menor"),CONCATENATE("R",'Mapa final GC'!$A$26),"")</f>
        <v/>
      </c>
      <c r="W25" s="736"/>
      <c r="X25" s="727" t="str">
        <f>IF(AND('Mapa final GC'!$Q$24="Alta",'Mapa final GC'!$U$24="Moderado"),CONCATENATE("R",'Mapa final GC'!$A$24),"")</f>
        <v/>
      </c>
      <c r="Y25" s="724"/>
      <c r="Z25" s="724" t="str">
        <f>IF(AND('Mapa final SST'!$S$20="Alta",'Mapa final SST'!$W$20="Moderado"),CONCATENATE("R",'Mapa final SST'!$D$20),"")</f>
        <v>R3SST</v>
      </c>
      <c r="AA25" s="724"/>
      <c r="AB25" s="724" t="str">
        <f>IF(AND('Mapa final GC'!$Q$26="Alta",'Mapa final GC'!$U$26="Moderado"),CONCATENATE("R",'Mapa final GC'!$A$26),"")</f>
        <v/>
      </c>
      <c r="AC25" s="724"/>
      <c r="AD25" s="727" t="str">
        <f>IF(AND('Mapa final GC'!$Q$24="Alta",'Mapa final GC'!$U$24="Mayor"),CONCATENATE("R",'Mapa final GC'!$A$24),"")</f>
        <v/>
      </c>
      <c r="AE25" s="724"/>
      <c r="AF25" s="724" t="str">
        <f>IF(AND('Mapa final GC'!$Q$25="Alta",'Mapa final GC'!$U$25="Mayor"),CONCATENATE("R",'Mapa final GC'!$A$25),"")</f>
        <v/>
      </c>
      <c r="AG25" s="724"/>
      <c r="AH25" s="724" t="str">
        <f>IF(AND('Mapa final GC'!$Q$26="Alta",'Mapa final GC'!$U$26="Mayor"),CONCATENATE("R",'Mapa final GC'!$A$26),"")</f>
        <v/>
      </c>
      <c r="AI25" s="724"/>
      <c r="AJ25" s="740" t="str">
        <f>IF(AND('Mapa final GC'!$Q$24="Alta",'Mapa final GC'!$U$24="Catastrófico"),CONCATENATE("R",'Mapa final GC'!$A$24),"")</f>
        <v/>
      </c>
      <c r="AK25" s="741"/>
      <c r="AL25" s="741" t="str">
        <f>IF(AND('Mapa final GC'!$Q$25="Alta",'Mapa final GC'!$U$25="Catastrófico"),CONCATENATE("R",'Mapa final GC'!$A$25),"")</f>
        <v/>
      </c>
      <c r="AM25" s="741"/>
      <c r="AN25" s="741" t="str">
        <f>IF(AND('Mapa final SI'!$Q$28="Alta",'Mapa final SI'!$U$28="Catastrófico"),CONCATENATE("R",'Mapa final SI'!$D$28),"")</f>
        <v>R3SI</v>
      </c>
      <c r="AO25" s="742"/>
      <c r="AP25" s="69"/>
      <c r="AQ25" s="693"/>
      <c r="AR25" s="694"/>
      <c r="AS25" s="694"/>
      <c r="AT25" s="694"/>
      <c r="AU25" s="694"/>
      <c r="AV25" s="695"/>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row>
    <row r="26" spans="3:82" ht="15.75" customHeight="1" thickBot="1" x14ac:dyDescent="0.3">
      <c r="C26" s="69"/>
      <c r="D26" s="679"/>
      <c r="E26" s="679"/>
      <c r="F26" s="680"/>
      <c r="G26" s="721"/>
      <c r="H26" s="722"/>
      <c r="I26" s="722"/>
      <c r="J26" s="722"/>
      <c r="K26" s="722"/>
      <c r="L26" s="750"/>
      <c r="M26" s="751"/>
      <c r="N26" s="751"/>
      <c r="O26" s="751"/>
      <c r="P26" s="751"/>
      <c r="Q26" s="752"/>
      <c r="R26" s="750"/>
      <c r="S26" s="751"/>
      <c r="T26" s="736"/>
      <c r="U26" s="736"/>
      <c r="V26" s="736"/>
      <c r="W26" s="736"/>
      <c r="X26" s="727"/>
      <c r="Y26" s="724"/>
      <c r="Z26" s="724"/>
      <c r="AA26" s="724"/>
      <c r="AB26" s="724"/>
      <c r="AC26" s="724"/>
      <c r="AD26" s="727"/>
      <c r="AE26" s="724"/>
      <c r="AF26" s="724"/>
      <c r="AG26" s="724"/>
      <c r="AH26" s="724"/>
      <c r="AI26" s="724"/>
      <c r="AJ26" s="740"/>
      <c r="AK26" s="741"/>
      <c r="AL26" s="741"/>
      <c r="AM26" s="741"/>
      <c r="AN26" s="741"/>
      <c r="AO26" s="742"/>
      <c r="AP26" s="69"/>
      <c r="AQ26" s="696"/>
      <c r="AR26" s="697"/>
      <c r="AS26" s="697"/>
      <c r="AT26" s="697"/>
      <c r="AU26" s="697"/>
      <c r="AV26" s="698"/>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row>
    <row r="27" spans="3:82" ht="15" customHeight="1" x14ac:dyDescent="0.25">
      <c r="C27" s="69"/>
      <c r="D27" s="679"/>
      <c r="E27" s="679"/>
      <c r="F27" s="680"/>
      <c r="G27" s="717" t="s">
        <v>115</v>
      </c>
      <c r="H27" s="718"/>
      <c r="I27" s="718"/>
      <c r="J27" s="718"/>
      <c r="K27" s="718"/>
      <c r="L27" s="753" t="str">
        <f>IF(AND('Mapa final GC'!$Q$15="Media",'Mapa final GC'!$U$15="Leve"),CONCATENATE("R",'Mapa final GC'!$A$15),"")</f>
        <v/>
      </c>
      <c r="M27" s="754"/>
      <c r="N27" s="754" t="str">
        <f>IF(AND('Mapa final GC'!$L$16="Media",'Mapa final GC'!$P$16="Leve"),CONCATENATE("R",'Mapa final GC'!$A$16),"")</f>
        <v/>
      </c>
      <c r="O27" s="754"/>
      <c r="P27" s="754" t="str">
        <f>IF(AND('Mapa final GC'!$L$17="Media",'Mapa final GC'!$P$17="Leve"),CONCATENATE("R",'Mapa final GC'!$A$17),"")</f>
        <v/>
      </c>
      <c r="Q27" s="755"/>
      <c r="R27" s="753" t="str">
        <f>IF(AND('Mapa final SST'!$S$15="Media",'Mapa final SST'!$W$15="Menor"),CONCATENATE("R",'Mapa final SST'!$D$15),"")</f>
        <v>R1SST</v>
      </c>
      <c r="S27" s="754"/>
      <c r="T27" s="754" t="str">
        <f>IF(AND('Mapa final GC'!$Q$16="Media",'Mapa final GC'!$U$16="Menor"),CONCATENATE("R",'Mapa final GC'!$A$16),"")</f>
        <v/>
      </c>
      <c r="U27" s="754"/>
      <c r="V27" s="754" t="str">
        <f>IF(AND('Mapa final GC'!$Q$17="Media",'Mapa final GC'!$U$17="Menor"),CONCATENATE("R",'Mapa final GC'!$A$17),"")</f>
        <v/>
      </c>
      <c r="W27" s="754"/>
      <c r="X27" s="753" t="str">
        <f>IF(AND('Mapa final SGI'!$Q$15="Media",'Mapa final SGI'!$U$15="Moderado"),CONCATENATE("R",'Mapa final SGI'!$D$15),"")</f>
        <v/>
      </c>
      <c r="Y27" s="754"/>
      <c r="Z27" s="754" t="str">
        <f>IF(AND('Mapa final GC'!Q$15="Media",'Mapa final GC'!$U$15="Moderado"),CONCATENATE("R",'Mapa final GC'!$D$15),"")</f>
        <v>R1CA</v>
      </c>
      <c r="AA27" s="754"/>
      <c r="AB27" s="754" t="str">
        <f>IF(AND('Mapa final GC'!$Q$17="Media",'Mapa final GC'!$U$17="Moderado"),CONCATENATE("R",'Mapa final GC'!$D$17),"")</f>
        <v>R2CA</v>
      </c>
      <c r="AC27" s="754"/>
      <c r="AD27" s="725" t="str">
        <f>IF(AND('Mapa final AM'!$Q$15="Media",'Mapa final AM'!$U$15="Mayor"),CONCATENATE("R",'Mapa final AM'!$D$15),"")</f>
        <v/>
      </c>
      <c r="AE27" s="726"/>
      <c r="AF27" s="726" t="str">
        <f>IF(AND('Mapa final GC'!$Q$16="Media",'Mapa final GC'!$U$16="Mayor"),CONCATENATE("R",'Mapa final GC'!$A$16),"")</f>
        <v/>
      </c>
      <c r="AG27" s="726"/>
      <c r="AH27" s="726" t="str">
        <f>IF(AND('Mapa final SI'!$Q$15="Media",'Mapa final SI'!$U$15="Mayor"),CONCATENATE("R",'Mapa final SI'!$D$15),"")</f>
        <v>R1SI</v>
      </c>
      <c r="AI27" s="726"/>
      <c r="AJ27" s="743" t="str">
        <f>IF(AND('Mapa final GC'!$Q$15="Media",'Mapa final GC'!$U$15="Catastrófico"),CONCATENATE("R",'Mapa final GC'!$A$15),"")</f>
        <v/>
      </c>
      <c r="AK27" s="744"/>
      <c r="AL27" s="744" t="str">
        <f>IF(AND('Mapa final GC'!$Q$16="Media",'Mapa final GC'!$U$16="Catastrófico"),CONCATENATE("R",'Mapa final GC'!$A$16),"")</f>
        <v/>
      </c>
      <c r="AM27" s="744"/>
      <c r="AN27" s="744" t="str">
        <f>IF(AND('Mapa final GC'!$Q$17="Media",'Mapa final GC'!$U$17="Catastrófico"),CONCATENATE("R",'Mapa final GC'!$A$17),"")</f>
        <v/>
      </c>
      <c r="AO27" s="745"/>
      <c r="AP27" s="69"/>
      <c r="AQ27" s="699" t="s">
        <v>79</v>
      </c>
      <c r="AR27" s="700"/>
      <c r="AS27" s="700"/>
      <c r="AT27" s="700"/>
      <c r="AU27" s="700"/>
      <c r="AV27" s="701"/>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row>
    <row r="28" spans="3:82" ht="15" customHeight="1" x14ac:dyDescent="0.25">
      <c r="C28" s="69"/>
      <c r="D28" s="679"/>
      <c r="E28" s="679"/>
      <c r="F28" s="680"/>
      <c r="G28" s="719"/>
      <c r="H28" s="720"/>
      <c r="I28" s="720"/>
      <c r="J28" s="720"/>
      <c r="K28" s="720"/>
      <c r="L28" s="735"/>
      <c r="M28" s="736"/>
      <c r="N28" s="736"/>
      <c r="O28" s="736"/>
      <c r="P28" s="736"/>
      <c r="Q28" s="749"/>
      <c r="R28" s="735"/>
      <c r="S28" s="736"/>
      <c r="T28" s="736"/>
      <c r="U28" s="736"/>
      <c r="V28" s="736"/>
      <c r="W28" s="736"/>
      <c r="X28" s="735"/>
      <c r="Y28" s="736"/>
      <c r="Z28" s="736"/>
      <c r="AA28" s="736"/>
      <c r="AB28" s="736"/>
      <c r="AC28" s="736"/>
      <c r="AD28" s="727"/>
      <c r="AE28" s="724"/>
      <c r="AF28" s="724"/>
      <c r="AG28" s="724"/>
      <c r="AH28" s="724"/>
      <c r="AI28" s="724"/>
      <c r="AJ28" s="740"/>
      <c r="AK28" s="741"/>
      <c r="AL28" s="741"/>
      <c r="AM28" s="741"/>
      <c r="AN28" s="741"/>
      <c r="AO28" s="742"/>
      <c r="AP28" s="69"/>
      <c r="AQ28" s="702"/>
      <c r="AR28" s="703"/>
      <c r="AS28" s="703"/>
      <c r="AT28" s="703"/>
      <c r="AU28" s="703"/>
      <c r="AV28" s="704"/>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row>
    <row r="29" spans="3:82" ht="15" customHeight="1" x14ac:dyDescent="0.25">
      <c r="C29" s="69"/>
      <c r="D29" s="679"/>
      <c r="E29" s="679"/>
      <c r="F29" s="680"/>
      <c r="G29" s="719"/>
      <c r="H29" s="720"/>
      <c r="I29" s="720"/>
      <c r="J29" s="720"/>
      <c r="K29" s="720"/>
      <c r="L29" s="735" t="str">
        <f>IF(AND('Mapa final GC'!$Q$19="Media",'Mapa final GC'!$U$19="Leve"),CONCATENATE("R",'Mapa final GC'!$A$19),"")</f>
        <v/>
      </c>
      <c r="M29" s="736"/>
      <c r="N29" s="736" t="str">
        <f>IF(AND('Mapa final GC'!$L$20="Media",'Mapa final GC'!$P$20="Leve"),CONCATENATE("R",'Mapa final GC'!$A$20),"")</f>
        <v/>
      </c>
      <c r="O29" s="736"/>
      <c r="P29" s="736" t="e">
        <f>IF(AND('Mapa final GC'!#REF!="Media",'Mapa final GC'!#REF!="Leve"),CONCATENATE("R",'Mapa final GC'!#REF!),"")</f>
        <v>#REF!</v>
      </c>
      <c r="Q29" s="749"/>
      <c r="R29" s="735" t="str">
        <f>IF(AND('Mapa final GC'!$Q$19="Media",'Mapa final GC'!$U$19="Menor"),CONCATENATE("R",'Mapa final GC'!$A$19),"")</f>
        <v/>
      </c>
      <c r="S29" s="736"/>
      <c r="T29" s="736" t="str">
        <f>IF(AND('Mapa final GC'!$Q$20="Media",'Mapa final GC'!$U$20="Menor"),CONCATENATE("R",'Mapa final GC'!$A$20),"")</f>
        <v/>
      </c>
      <c r="U29" s="736"/>
      <c r="V29" s="736" t="e">
        <f>IF(AND('Mapa final GC'!#REF!="Media",'Mapa final GC'!#REF!="Menor"),CONCATENATE("R",'Mapa final GC'!#REF!),"")</f>
        <v>#REF!</v>
      </c>
      <c r="W29" s="736"/>
      <c r="X29" s="735" t="str">
        <f>IF(AND('Mapa final GC'!$Q$19="Media",'Mapa final GC'!$U$19="Moderado"),CONCATENATE("R",'Mapa final GC'!$A$19),"")</f>
        <v/>
      </c>
      <c r="Y29" s="736"/>
      <c r="Z29" s="736" t="str">
        <f>IF(AND('Mapa final GC'!$Q$20="Media",'Mapa final GC'!$U$20="Moderado"),CONCATENATE("R",'Mapa final GC'!$A$20),"")</f>
        <v/>
      </c>
      <c r="AA29" s="736"/>
      <c r="AB29" s="736" t="e">
        <f>IF(AND('Mapa final GC'!#REF!="Media",'Mapa final GC'!#REF!="Moderado"),CONCATENATE("R",'Mapa final GC'!#REF!),"")</f>
        <v>#REF!</v>
      </c>
      <c r="AC29" s="736"/>
      <c r="AD29" s="727" t="str">
        <f>IF(AND('Mapa final GC'!$Q$19="Media",'Mapa final GC'!$U$19="Mayor"),CONCATENATE("R",'Mapa final GC'!$A$19),"")</f>
        <v/>
      </c>
      <c r="AE29" s="724"/>
      <c r="AF29" s="724" t="str">
        <f>IF(AND('Mapa final GC'!$Q$20="Media",'Mapa final GC'!$U$20="Mayor"),CONCATENATE("R",'Mapa final GC'!$A$20),"")</f>
        <v/>
      </c>
      <c r="AG29" s="724"/>
      <c r="AH29" s="724" t="e">
        <f>IF(AND('Mapa final GC'!#REF!="Media",'Mapa final GC'!#REF!="Mayor"),CONCATENATE("R",'Mapa final GC'!#REF!),"")</f>
        <v>#REF!</v>
      </c>
      <c r="AI29" s="724"/>
      <c r="AJ29" s="740" t="str">
        <f>IF(AND('Mapa final GC'!$Q$19="Media",'Mapa final GC'!$U$19="Catastrófico"),CONCATENATE("R",'Mapa final GC'!$A$19),"")</f>
        <v/>
      </c>
      <c r="AK29" s="741"/>
      <c r="AL29" s="741" t="str">
        <f>IF(AND('Mapa final GC'!$Q$20="Media",'Mapa final GC'!$U$20="Catastrófico"),CONCATENATE("R",'Mapa final GC'!$A$20),"")</f>
        <v/>
      </c>
      <c r="AM29" s="741"/>
      <c r="AN29" s="741" t="e">
        <f>IF(AND('Mapa final GC'!#REF!="Media",'Mapa final GC'!#REF!="Catastrófico"),CONCATENATE("R",'Mapa final GC'!#REF!),"")</f>
        <v>#REF!</v>
      </c>
      <c r="AO29" s="742"/>
      <c r="AP29" s="69"/>
      <c r="AQ29" s="702"/>
      <c r="AR29" s="703"/>
      <c r="AS29" s="703"/>
      <c r="AT29" s="703"/>
      <c r="AU29" s="703"/>
      <c r="AV29" s="704"/>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row>
    <row r="30" spans="3:82" ht="15" customHeight="1" x14ac:dyDescent="0.25">
      <c r="C30" s="69"/>
      <c r="D30" s="679"/>
      <c r="E30" s="679"/>
      <c r="F30" s="680"/>
      <c r="G30" s="719"/>
      <c r="H30" s="720"/>
      <c r="I30" s="720"/>
      <c r="J30" s="720"/>
      <c r="K30" s="720"/>
      <c r="L30" s="735"/>
      <c r="M30" s="736"/>
      <c r="N30" s="736"/>
      <c r="O30" s="736"/>
      <c r="P30" s="736"/>
      <c r="Q30" s="749"/>
      <c r="R30" s="735"/>
      <c r="S30" s="736"/>
      <c r="T30" s="736"/>
      <c r="U30" s="736"/>
      <c r="V30" s="736"/>
      <c r="W30" s="736"/>
      <c r="X30" s="735"/>
      <c r="Y30" s="736"/>
      <c r="Z30" s="736"/>
      <c r="AA30" s="736"/>
      <c r="AB30" s="736"/>
      <c r="AC30" s="736"/>
      <c r="AD30" s="727"/>
      <c r="AE30" s="724"/>
      <c r="AF30" s="724"/>
      <c r="AG30" s="724"/>
      <c r="AH30" s="724"/>
      <c r="AI30" s="724"/>
      <c r="AJ30" s="740"/>
      <c r="AK30" s="741"/>
      <c r="AL30" s="741"/>
      <c r="AM30" s="741"/>
      <c r="AN30" s="741"/>
      <c r="AO30" s="742"/>
      <c r="AP30" s="69"/>
      <c r="AQ30" s="702"/>
      <c r="AR30" s="703"/>
      <c r="AS30" s="703"/>
      <c r="AT30" s="703"/>
      <c r="AU30" s="703"/>
      <c r="AV30" s="704"/>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row>
    <row r="31" spans="3:82" ht="15" customHeight="1" x14ac:dyDescent="0.25">
      <c r="C31" s="69"/>
      <c r="D31" s="679"/>
      <c r="E31" s="679"/>
      <c r="F31" s="680"/>
      <c r="G31" s="719"/>
      <c r="H31" s="720"/>
      <c r="I31" s="720"/>
      <c r="J31" s="720"/>
      <c r="K31" s="720"/>
      <c r="L31" s="735" t="str">
        <f>IF(AND('Mapa final GC'!$Q$21="Media",'Mapa final GC'!$U$21="Leve"),CONCATENATE("R",'Mapa final GC'!$A$21),"")</f>
        <v/>
      </c>
      <c r="M31" s="736"/>
      <c r="N31" s="736" t="str">
        <f>IF(AND('Mapa final GC'!$L$22="Media",'Mapa final GC'!$P$22="Leve"),CONCATENATE("R",'Mapa final GC'!$A$22),"")</f>
        <v/>
      </c>
      <c r="O31" s="736"/>
      <c r="P31" s="736" t="str">
        <f>IF(AND('Mapa final GC'!$L$23="Media",'Mapa final GC'!$P$23="Leve"),CONCATENATE("R",'Mapa final GC'!$A$23),"")</f>
        <v/>
      </c>
      <c r="Q31" s="749"/>
      <c r="R31" s="735" t="str">
        <f>IF(AND('Mapa final GC'!$Q$21="Media",'Mapa final GC'!$U$21="Menor"),CONCATENATE("R",'Mapa final GC'!$A$21),"")</f>
        <v/>
      </c>
      <c r="S31" s="736"/>
      <c r="T31" s="736" t="str">
        <f>IF(AND('Mapa final GC'!$LR$22="Media",'Mapa final GC'!$U$22="Menor"),CONCATENATE("R",'Mapa final GC'!$A$22),"")</f>
        <v/>
      </c>
      <c r="U31" s="736"/>
      <c r="V31" s="736" t="str">
        <f>IF(AND('Mapa final GC'!$Q$23="Media",'Mapa final GC'!$U$23="Menor"),CONCATENATE("R",'Mapa final GC'!$A$23),"")</f>
        <v/>
      </c>
      <c r="W31" s="736"/>
      <c r="X31" s="735" t="str">
        <f>IF(AND('Mapa final GC'!$Q$21="Media",'Mapa final GC'!$U$21="Moderado"),CONCATENATE("R",'Mapa final GC'!$A$21),"")</f>
        <v/>
      </c>
      <c r="Y31" s="736"/>
      <c r="Z31" s="736" t="str">
        <f>IF(AND('Mapa final GC'!$Q$22="Media",'Mapa final GC'!$U$22="Moderado"),CONCATENATE("R",'Mapa final GC'!$A$22),"")</f>
        <v/>
      </c>
      <c r="AA31" s="736"/>
      <c r="AB31" s="736" t="str">
        <f>IF(AND('Mapa final GC'!$Q$23="Media",'Mapa final GC'!$U$23="Moderado"),CONCATENATE("R",'Mapa final GC'!$A$23),"")</f>
        <v/>
      </c>
      <c r="AC31" s="736"/>
      <c r="AD31" s="727" t="str">
        <f>IF(AND('Mapa final GC'!$Q$21="Media",'Mapa final GC'!$U$21="Mayor"),CONCATENATE("R",'Mapa final GC'!$A$21),"")</f>
        <v/>
      </c>
      <c r="AE31" s="724"/>
      <c r="AF31" s="724" t="str">
        <f>IF(AND('Mapa final GC'!$Q$22="Media",'Mapa final GC'!$U$22="Mayor"),CONCATENATE("R",'Mapa final GC'!$A$22),"")</f>
        <v/>
      </c>
      <c r="AG31" s="724"/>
      <c r="AH31" s="724" t="str">
        <f>IF(AND('Mapa final GC'!$Q$23="Media",'Mapa final GC'!$U$23="Mayor"),CONCATENATE("R",'Mapa final GC'!$A$23),"")</f>
        <v/>
      </c>
      <c r="AI31" s="724"/>
      <c r="AJ31" s="740" t="str">
        <f>IF(AND('Mapa final GC'!$Q$21="Media",'Mapa final GC'!$U$21="Catastrófico"),CONCATENATE("R",'Mapa final GC'!$A$21),"")</f>
        <v/>
      </c>
      <c r="AK31" s="741"/>
      <c r="AL31" s="741" t="str">
        <f>IF(AND('Mapa final GC'!$Q$22="Media",'Mapa final GC'!$U$22="Catastrófico"),CONCATENATE("R",'Mapa final GC'!$A$22),"")</f>
        <v/>
      </c>
      <c r="AM31" s="741"/>
      <c r="AN31" s="741" t="str">
        <f>IF(AND('Mapa final GC'!$Q$23="Media",'Mapa final GC'!$U$23="Catastrófico"),CONCATENATE("R",'Mapa final GC'!$A$23),"")</f>
        <v/>
      </c>
      <c r="AO31" s="742"/>
      <c r="AP31" s="69"/>
      <c r="AQ31" s="702"/>
      <c r="AR31" s="703"/>
      <c r="AS31" s="703"/>
      <c r="AT31" s="703"/>
      <c r="AU31" s="703"/>
      <c r="AV31" s="704"/>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row>
    <row r="32" spans="3:82" ht="15" customHeight="1" x14ac:dyDescent="0.25">
      <c r="C32" s="69"/>
      <c r="D32" s="679"/>
      <c r="E32" s="679"/>
      <c r="F32" s="680"/>
      <c r="G32" s="719"/>
      <c r="H32" s="720"/>
      <c r="I32" s="720"/>
      <c r="J32" s="720"/>
      <c r="K32" s="720"/>
      <c r="L32" s="735"/>
      <c r="M32" s="736"/>
      <c r="N32" s="736"/>
      <c r="O32" s="736"/>
      <c r="P32" s="736"/>
      <c r="Q32" s="749"/>
      <c r="R32" s="735"/>
      <c r="S32" s="736"/>
      <c r="T32" s="736"/>
      <c r="U32" s="736"/>
      <c r="V32" s="736"/>
      <c r="W32" s="736"/>
      <c r="X32" s="735"/>
      <c r="Y32" s="736"/>
      <c r="Z32" s="736"/>
      <c r="AA32" s="736"/>
      <c r="AB32" s="736"/>
      <c r="AC32" s="736"/>
      <c r="AD32" s="727"/>
      <c r="AE32" s="724"/>
      <c r="AF32" s="724"/>
      <c r="AG32" s="724"/>
      <c r="AH32" s="724"/>
      <c r="AI32" s="724"/>
      <c r="AJ32" s="740"/>
      <c r="AK32" s="741"/>
      <c r="AL32" s="741"/>
      <c r="AM32" s="741"/>
      <c r="AN32" s="741"/>
      <c r="AO32" s="742"/>
      <c r="AP32" s="69"/>
      <c r="AQ32" s="702"/>
      <c r="AR32" s="703"/>
      <c r="AS32" s="703"/>
      <c r="AT32" s="703"/>
      <c r="AU32" s="703"/>
      <c r="AV32" s="704"/>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row>
    <row r="33" spans="3:82" ht="15" customHeight="1" x14ac:dyDescent="0.25">
      <c r="C33" s="69"/>
      <c r="D33" s="679"/>
      <c r="E33" s="679"/>
      <c r="F33" s="680"/>
      <c r="G33" s="719"/>
      <c r="H33" s="720"/>
      <c r="I33" s="720"/>
      <c r="J33" s="720"/>
      <c r="K33" s="720"/>
      <c r="L33" s="735" t="str">
        <f>IF(AND('Mapa final GC'!$Q$24="Mediaa",'Mapa final GC'!$U$24="Leve"),CONCATENATE("R",'Mapa final GC'!$A$24),"")</f>
        <v/>
      </c>
      <c r="M33" s="736"/>
      <c r="N33" s="736" t="str">
        <f>IF(AND('Mapa final GC'!$L$25="Media",'Mapa final GC'!$P$25="Leve"),CONCATENATE("R",'Mapa final GC'!$A$25),"")</f>
        <v/>
      </c>
      <c r="O33" s="736"/>
      <c r="P33" s="736" t="str">
        <f>IF(AND('Mapa final GC'!$L$26="Media",'Mapa final GC'!$P$26="Leve"),CONCATENATE("R",'Mapa final GC'!$A$26),"")</f>
        <v/>
      </c>
      <c r="Q33" s="749"/>
      <c r="R33" s="735" t="str">
        <f>IF(AND('Mapa final GC'!$Q$24="Media",'Mapa final GC'!$U$24="Menor"),CONCATENATE("R",'Mapa final GC'!$A$24),"")</f>
        <v/>
      </c>
      <c r="S33" s="736"/>
      <c r="T33" s="736" t="str">
        <f>IF(AND('Mapa final GC'!$Q$25="Media",'Mapa final GC'!$U$25="Menor"),CONCATENATE("R",'Mapa final GC'!$A$25),"")</f>
        <v/>
      </c>
      <c r="U33" s="736"/>
      <c r="V33" s="736" t="str">
        <f>IF(AND('Mapa final GC'!$Q$26="Media",'Mapa final GC'!$U$26="Menor"),CONCATENATE("R",'Mapa final GC'!$A$26),"")</f>
        <v/>
      </c>
      <c r="W33" s="736"/>
      <c r="X33" s="735" t="str">
        <f>IF(AND('Mapa final GC'!$Q$24="Media",'Mapa final GC'!$U$24="Moderado"),CONCATENATE("R",'Mapa final GC'!$A$24),"")</f>
        <v/>
      </c>
      <c r="Y33" s="736"/>
      <c r="Z33" s="736" t="str">
        <f>IF(AND('Mapa final GC'!$Q$25="Media",'Mapa final GC'!$U$25="Moderado"),CONCATENATE("R",'Mapa final GC'!$A$25),"")</f>
        <v/>
      </c>
      <c r="AA33" s="736"/>
      <c r="AB33" s="736" t="str">
        <f>IF(AND('Mapa final GC'!$Q$26="Media",'Mapa final GC'!$U$26="Moderado"),CONCATENATE("R",'Mapa final GC'!$A$26),"")</f>
        <v/>
      </c>
      <c r="AC33" s="736"/>
      <c r="AD33" s="727" t="str">
        <f>IF(AND('Mapa final GC'!$Q$24="Media",'Mapa final GC'!$U$24="Mayor"),CONCATENATE("R",'Mapa final GC'!$A$24),"")</f>
        <v/>
      </c>
      <c r="AE33" s="724"/>
      <c r="AF33" s="724" t="str">
        <f>IF(AND('Mapa final SI'!$Q$34="Media",'Mapa final SI'!$U$34="Mayor"),CONCATENATE("R",'Mapa final SI'!$D$34),"")</f>
        <v>R4SI</v>
      </c>
      <c r="AG33" s="724"/>
      <c r="AH33" s="724" t="str">
        <f>IF(AND('Mapa final GC'!$Q$26="Media",'Mapa final GC'!$U$26="Mayor"),CONCATENATE("R",'Mapa final GC'!$A$26),"")</f>
        <v/>
      </c>
      <c r="AI33" s="724"/>
      <c r="AJ33" s="740" t="str">
        <f>IF(AND('Mapa final GC'!$Q$24="Media",'Mapa final GC'!$U$24="Catastrófico"),CONCATENATE("R",'Mapa final GC'!$A$24),"")</f>
        <v/>
      </c>
      <c r="AK33" s="741"/>
      <c r="AL33" s="741" t="str">
        <f>IF(AND('Mapa final GC'!$Q$25="Media",'Mapa final GC'!$U$25="Catastrófico"),CONCATENATE("R",'Mapa final GC'!$A$25),"")</f>
        <v/>
      </c>
      <c r="AM33" s="741"/>
      <c r="AN33" s="741" t="str">
        <f>IF(AND('Mapa final GC'!$Q$26="Media",'Mapa final GC'!$U$26="Catastrófico"),CONCATENATE("R",'Mapa final GC'!$A$26),"")</f>
        <v/>
      </c>
      <c r="AO33" s="742"/>
      <c r="AP33" s="69"/>
      <c r="AQ33" s="702"/>
      <c r="AR33" s="703"/>
      <c r="AS33" s="703"/>
      <c r="AT33" s="703"/>
      <c r="AU33" s="703"/>
      <c r="AV33" s="704"/>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row>
    <row r="34" spans="3:82" ht="15.75" customHeight="1" thickBot="1" x14ac:dyDescent="0.3">
      <c r="C34" s="69"/>
      <c r="D34" s="679"/>
      <c r="E34" s="679"/>
      <c r="F34" s="680"/>
      <c r="G34" s="721"/>
      <c r="H34" s="722"/>
      <c r="I34" s="722"/>
      <c r="J34" s="722"/>
      <c r="K34" s="722"/>
      <c r="L34" s="735"/>
      <c r="M34" s="736"/>
      <c r="N34" s="736"/>
      <c r="O34" s="736"/>
      <c r="P34" s="736"/>
      <c r="Q34" s="749"/>
      <c r="R34" s="750"/>
      <c r="S34" s="751"/>
      <c r="T34" s="751"/>
      <c r="U34" s="751"/>
      <c r="V34" s="751"/>
      <c r="W34" s="751"/>
      <c r="X34" s="750"/>
      <c r="Y34" s="751"/>
      <c r="Z34" s="751"/>
      <c r="AA34" s="751"/>
      <c r="AB34" s="751"/>
      <c r="AC34" s="751"/>
      <c r="AD34" s="738"/>
      <c r="AE34" s="733"/>
      <c r="AF34" s="733"/>
      <c r="AG34" s="733"/>
      <c r="AH34" s="733"/>
      <c r="AI34" s="733"/>
      <c r="AJ34" s="740"/>
      <c r="AK34" s="741"/>
      <c r="AL34" s="741"/>
      <c r="AM34" s="741"/>
      <c r="AN34" s="741"/>
      <c r="AO34" s="742"/>
      <c r="AP34" s="69"/>
      <c r="AQ34" s="705"/>
      <c r="AR34" s="706"/>
      <c r="AS34" s="706"/>
      <c r="AT34" s="706"/>
      <c r="AU34" s="706"/>
      <c r="AV34" s="707"/>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row>
    <row r="35" spans="3:82" ht="15" customHeight="1" x14ac:dyDescent="0.25">
      <c r="C35" s="69"/>
      <c r="D35" s="679"/>
      <c r="E35" s="679"/>
      <c r="F35" s="680"/>
      <c r="G35" s="717" t="s">
        <v>112</v>
      </c>
      <c r="H35" s="718"/>
      <c r="I35" s="718"/>
      <c r="J35" s="718"/>
      <c r="K35" s="718"/>
      <c r="L35" s="764" t="str">
        <f>IF(AND('Mapa final AU'!C$15="Baja",'Mapa final AU'!$U$15="Leve"),CONCATENATE("R",'Mapa final AU'!$D$15),"")</f>
        <v/>
      </c>
      <c r="M35" s="765"/>
      <c r="N35" s="765" t="str">
        <f>IF(AND('Mapa final AU'!$Q$16="Baja",'Mapa final AU'!$U$16="Leve"),CONCATENATE("R",'Mapa final AU'!$D$16),"")</f>
        <v/>
      </c>
      <c r="O35" s="765"/>
      <c r="P35" s="765" t="str">
        <f>IF(AND('Mapa final AU'!$Q$17="Baja",'Mapa final AU'!$U$17="Leve"),CONCATENATE("R",'Mapa final AU'!$D$17),"")</f>
        <v/>
      </c>
      <c r="Q35" s="766"/>
      <c r="R35" s="754" t="str">
        <f>IF(AND('Mapa final GC'!$Q$15="Baja",'Mapa final GC'!$U$15="Menor"),CONCATENATE("R",'Mapa final GC'!$A$15),"")</f>
        <v/>
      </c>
      <c r="S35" s="754"/>
      <c r="T35" s="736" t="str">
        <f>IF(AND('Mapa final GC'!$Q$16="Baja",'Mapa final GC'!$U$16="Menor"),CONCATENATE("R",'Mapa final GC'!$A$16),"")</f>
        <v/>
      </c>
      <c r="U35" s="736"/>
      <c r="V35" s="736" t="str">
        <f>IF(AND('Mapa final GC'!$Q$17="Baja",'Mapa final GC'!$U$17="Menor"),CONCATENATE("R",'Mapa final GC'!$A$17),"")</f>
        <v/>
      </c>
      <c r="W35" s="749"/>
      <c r="X35" s="735" t="str">
        <f>IF(AND('Mapa final GC'!$Q$15="Baja",'Mapa final GC'!$U$15="Moderado"),CONCATENATE("R",'Mapa final GC'!$A$15),"")</f>
        <v/>
      </c>
      <c r="Y35" s="736"/>
      <c r="Z35" s="736" t="str">
        <f>IF(AND('Mapa final GC'!Q$16="Baja",'Mapa final GC'!$U$16="Moderado"),CONCATENATE("R",'Mapa final GC'!$A$16),"")</f>
        <v/>
      </c>
      <c r="AA35" s="736"/>
      <c r="AB35" s="736" t="str">
        <f>IF(AND('Mapa final GC'!$Q$17="Baja",'Mapa final GC'!$U$17="Moderado"),CONCATENATE("R",'Mapa final GC'!$A$17),"")</f>
        <v/>
      </c>
      <c r="AC35" s="749"/>
      <c r="AD35" s="727" t="str">
        <f>IF(AND('Mapa final GC'!$Q$15="Baja",'Mapa final GC'!$U$15="Mayor"),CONCATENATE("R",'Mapa final GC'!$A$15),"")</f>
        <v/>
      </c>
      <c r="AE35" s="724"/>
      <c r="AF35" s="724" t="str">
        <f>IF(AND('Mapa final GC'!$Q$16="Baja",'Mapa final GC'!$U$16="Mayor"),CONCATENATE("R",'Mapa final GC'!$A$16),"")</f>
        <v/>
      </c>
      <c r="AG35" s="724"/>
      <c r="AH35" s="724" t="str">
        <f>IF(AND('Mapa final GC'!$Q$17="Baja",'Mapa final GC'!$U$17="Mayor"),CONCATENATE("R",'Mapa final GC'!$A$17),"")</f>
        <v/>
      </c>
      <c r="AI35" s="724"/>
      <c r="AJ35" s="743" t="str">
        <f>IF(AND('Mapa final GC'!$Q$15="Baja",'Mapa final GC'!$U$15="Catastrófico"),CONCATENATE("R",'Mapa final GC'!$A$15),"")</f>
        <v/>
      </c>
      <c r="AK35" s="744"/>
      <c r="AL35" s="744" t="str">
        <f>IF(AND('Mapa final GC'!$Q$16="Baja",'Mapa final GC'!$U$16="Catastrófico"),CONCATENATE("R",'Mapa final GC'!$A$16),"")</f>
        <v/>
      </c>
      <c r="AM35" s="744"/>
      <c r="AN35" s="744" t="str">
        <f>IF(AND('Mapa final GC'!$Q$17="Baja",'Mapa final GC'!$U$17="Catastrófico"),CONCATENATE("R",'Mapa final GC'!$A$17),"")</f>
        <v/>
      </c>
      <c r="AO35" s="745"/>
      <c r="AP35" s="69"/>
      <c r="AQ35" s="708" t="s">
        <v>80</v>
      </c>
      <c r="AR35" s="709"/>
      <c r="AS35" s="709"/>
      <c r="AT35" s="709"/>
      <c r="AU35" s="709"/>
      <c r="AV35" s="710"/>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row>
    <row r="36" spans="3:82" ht="15" customHeight="1" x14ac:dyDescent="0.25">
      <c r="C36" s="69"/>
      <c r="D36" s="679"/>
      <c r="E36" s="679"/>
      <c r="F36" s="680"/>
      <c r="G36" s="719"/>
      <c r="H36" s="720"/>
      <c r="I36" s="720"/>
      <c r="J36" s="720"/>
      <c r="K36" s="720"/>
      <c r="L36" s="758"/>
      <c r="M36" s="759"/>
      <c r="N36" s="759"/>
      <c r="O36" s="759"/>
      <c r="P36" s="759"/>
      <c r="Q36" s="760"/>
      <c r="R36" s="736"/>
      <c r="S36" s="736"/>
      <c r="T36" s="736"/>
      <c r="U36" s="736"/>
      <c r="V36" s="736"/>
      <c r="W36" s="749"/>
      <c r="X36" s="735"/>
      <c r="Y36" s="736"/>
      <c r="Z36" s="736"/>
      <c r="AA36" s="736"/>
      <c r="AB36" s="736"/>
      <c r="AC36" s="749"/>
      <c r="AD36" s="727"/>
      <c r="AE36" s="724"/>
      <c r="AF36" s="724"/>
      <c r="AG36" s="724"/>
      <c r="AH36" s="724"/>
      <c r="AI36" s="724"/>
      <c r="AJ36" s="740"/>
      <c r="AK36" s="741"/>
      <c r="AL36" s="741"/>
      <c r="AM36" s="741"/>
      <c r="AN36" s="741"/>
      <c r="AO36" s="742"/>
      <c r="AP36" s="69"/>
      <c r="AQ36" s="711"/>
      <c r="AR36" s="712"/>
      <c r="AS36" s="712"/>
      <c r="AT36" s="712"/>
      <c r="AU36" s="712"/>
      <c r="AV36" s="713"/>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row>
    <row r="37" spans="3:82" ht="15" customHeight="1" x14ac:dyDescent="0.25">
      <c r="C37" s="69"/>
      <c r="D37" s="679"/>
      <c r="E37" s="679"/>
      <c r="F37" s="680"/>
      <c r="G37" s="719"/>
      <c r="H37" s="720"/>
      <c r="I37" s="720"/>
      <c r="J37" s="720"/>
      <c r="K37" s="720"/>
      <c r="L37" s="758" t="str">
        <f>IF(AND('Mapa final AU'!$Q$17="Baja",'Mapa final AU'!$U$17="Leve"),CONCATENATE("R",'Mapa final AU'!$D$17),"")</f>
        <v/>
      </c>
      <c r="M37" s="759"/>
      <c r="N37" s="759" t="str">
        <f>IF(AND('Mapa final AU'!$Q$18="Baja",'Mapa final AU'!$U$18="Leve"),CONCATENATE("R",'Mapa final AU'!$D$18),"")</f>
        <v/>
      </c>
      <c r="O37" s="759"/>
      <c r="P37" s="759" t="str">
        <f>IF(AND('Mapa final AU'!$Q$15="Baja",'Mapa final AU'!$U$15="Leve"),CONCATENATE("R",'Mapa final AU'!$D$15),"")</f>
        <v/>
      </c>
      <c r="Q37" s="760"/>
      <c r="R37" s="736" t="str">
        <f>IF(AND('Mapa final GC'!$Q$19="Baja",'Mapa final GC'!$U$19="Menor"),CONCATENATE("R",'Mapa final GC'!$A$19),"")</f>
        <v/>
      </c>
      <c r="S37" s="736"/>
      <c r="T37" s="736" t="str">
        <f>IF(AND('Mapa final GC'!$Q$20="Baja",'Mapa final GC'!$U$20="Menor"),CONCATENATE("R",'Mapa final GC'!$A$20),"")</f>
        <v/>
      </c>
      <c r="U37" s="736"/>
      <c r="V37" s="736" t="e">
        <f>IF(AND('Mapa final GC'!#REF!="Baja",'Mapa final GC'!#REF!="Menor"),CONCATENATE("R",'Mapa final GC'!#REF!),"")</f>
        <v>#REF!</v>
      </c>
      <c r="W37" s="749"/>
      <c r="X37" s="735" t="str">
        <f>IF(AND('Mapa final GC'!$Q$19="Baja",'Mapa final GC'!$U$19="Moderado"),CONCATENATE("R",'Mapa final GC'!$D$19),"")</f>
        <v>R3CA</v>
      </c>
      <c r="Y37" s="736"/>
      <c r="Z37" s="736" t="str">
        <f>IF(AND('Mapa final GC'!$Q$20="Baja",'Mapa final GC'!$U$20="Moderado"),CONCATENATE("R",'Mapa final GC'!$A$20),"")</f>
        <v/>
      </c>
      <c r="AA37" s="736"/>
      <c r="AB37" s="736" t="e">
        <f>IF(AND('Mapa final GC'!#REF!="Baja",'Mapa final GC'!#REF!="Moderado"),CONCATENATE("R",'Mapa final GC'!#REF!),"")</f>
        <v>#REF!</v>
      </c>
      <c r="AC37" s="749"/>
      <c r="AD37" s="727" t="str">
        <f>IF(AND('Mapa final GC'!$Q$19="Baja",'Mapa final GC'!$U$19="Mayor"),CONCATENATE("R",'Mapa final GC'!$A$19),"")</f>
        <v/>
      </c>
      <c r="AE37" s="724"/>
      <c r="AF37" s="724" t="str">
        <f>IF(AND('Mapa final GC'!$Q$20="Baja",'Mapa final GC'!$U$20="Mayor"),CONCATENATE("R",'Mapa final GC'!$A$20),"")</f>
        <v/>
      </c>
      <c r="AG37" s="724"/>
      <c r="AH37" s="724" t="e">
        <f>IF(AND('Mapa final GC'!#REF!="Baja",'Mapa final GC'!#REF!="Mayor"),CONCATENATE("R",'Mapa final GC'!#REF!),"")</f>
        <v>#REF!</v>
      </c>
      <c r="AI37" s="724"/>
      <c r="AJ37" s="740" t="str">
        <f>IF(AND('Mapa final GC'!$Q$19="Baja",'Mapa final GC'!$U$19="Catastrófico"),CONCATENATE("R",'Mapa final GC'!$A$19),"")</f>
        <v/>
      </c>
      <c r="AK37" s="741"/>
      <c r="AL37" s="741" t="str">
        <f>IF(AND('Mapa final GC'!$Q$20="Baja",'Mapa final GC'!$U$20="Catastrófico"),CONCATENATE("R",'Mapa final GC'!$A$20),"")</f>
        <v/>
      </c>
      <c r="AM37" s="741"/>
      <c r="AN37" s="741" t="e">
        <f>IF(AND('Mapa final GC'!#REF!="Baja",'Mapa final GC'!#REF!="Catastrófico"),CONCATENATE("R",'Mapa final GC'!#REF!),"")</f>
        <v>#REF!</v>
      </c>
      <c r="AO37" s="742"/>
      <c r="AP37" s="69"/>
      <c r="AQ37" s="711"/>
      <c r="AR37" s="712"/>
      <c r="AS37" s="712"/>
      <c r="AT37" s="712"/>
      <c r="AU37" s="712"/>
      <c r="AV37" s="713"/>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row>
    <row r="38" spans="3:82" ht="15" customHeight="1" x14ac:dyDescent="0.25">
      <c r="C38" s="69"/>
      <c r="D38" s="679"/>
      <c r="E38" s="679"/>
      <c r="F38" s="680"/>
      <c r="G38" s="719"/>
      <c r="H38" s="720"/>
      <c r="I38" s="720"/>
      <c r="J38" s="720"/>
      <c r="K38" s="720"/>
      <c r="L38" s="758"/>
      <c r="M38" s="759"/>
      <c r="N38" s="759"/>
      <c r="O38" s="759"/>
      <c r="P38" s="759"/>
      <c r="Q38" s="760"/>
      <c r="R38" s="736"/>
      <c r="S38" s="736"/>
      <c r="T38" s="736"/>
      <c r="U38" s="736"/>
      <c r="V38" s="736"/>
      <c r="W38" s="749"/>
      <c r="X38" s="735"/>
      <c r="Y38" s="736"/>
      <c r="Z38" s="736"/>
      <c r="AA38" s="736"/>
      <c r="AB38" s="736"/>
      <c r="AC38" s="749"/>
      <c r="AD38" s="727"/>
      <c r="AE38" s="724"/>
      <c r="AF38" s="724"/>
      <c r="AG38" s="724"/>
      <c r="AH38" s="724"/>
      <c r="AI38" s="724"/>
      <c r="AJ38" s="740"/>
      <c r="AK38" s="741"/>
      <c r="AL38" s="741"/>
      <c r="AM38" s="741"/>
      <c r="AN38" s="741"/>
      <c r="AO38" s="742"/>
      <c r="AP38" s="69"/>
      <c r="AQ38" s="711"/>
      <c r="AR38" s="712"/>
      <c r="AS38" s="712"/>
      <c r="AT38" s="712"/>
      <c r="AU38" s="712"/>
      <c r="AV38" s="713"/>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row>
    <row r="39" spans="3:82" ht="15" customHeight="1" x14ac:dyDescent="0.25">
      <c r="C39" s="69"/>
      <c r="D39" s="679"/>
      <c r="E39" s="679"/>
      <c r="F39" s="680"/>
      <c r="G39" s="719"/>
      <c r="H39" s="720"/>
      <c r="I39" s="720"/>
      <c r="J39" s="720"/>
      <c r="K39" s="720"/>
      <c r="L39" s="758" t="str">
        <f>IF(AND('Mapa final AU'!$Q$15="Baja",'Mapa final AU'!$U$15="Leve"),CONCATENATE("R",'Mapa final AU'!$D$15),"")</f>
        <v/>
      </c>
      <c r="M39" s="759"/>
      <c r="N39" s="759" t="str">
        <f>IF(AND('Mapa final AU'!$Q$19="Baja",'Mapa final AU'!$U$19="Leve"),CONCATENATE("R",'Mapa final AU'!$D$19),"")</f>
        <v/>
      </c>
      <c r="O39" s="759"/>
      <c r="P39" s="759" t="str">
        <f>IF(AND('Mapa final AU'!$Q$15="Baja",'Mapa final AU'!$U$15="Leve"),CONCATENATE("R",'Mapa final AU'!$D$15),"")</f>
        <v/>
      </c>
      <c r="Q39" s="760"/>
      <c r="R39" s="736" t="str">
        <f>IF(AND('Mapa final GC'!$Q$21="Baja",'Mapa final GC'!$U$21="Menor"),CONCATENATE("R",'Mapa final GC'!$A$21),"")</f>
        <v/>
      </c>
      <c r="S39" s="736"/>
      <c r="T39" s="736" t="str">
        <f>IF(AND('Mapa final GC'!$LR$22="Baja",'Mapa final GC'!$U$22="Menor"),CONCATENATE("R",'Mapa final GC'!$A$22),"")</f>
        <v/>
      </c>
      <c r="U39" s="736"/>
      <c r="V39" s="736" t="str">
        <f>IF(AND('Mapa final GC'!$Q$23="Baja",'Mapa final GC'!$U$23="Menor"),CONCATENATE("R",'Mapa final GC'!$A$23),"")</f>
        <v/>
      </c>
      <c r="W39" s="749"/>
      <c r="X39" s="735" t="str">
        <f>IF(AND('Mapa final GC'!$Q$21="Baja",'Mapa final GC'!$U$21="Moderado"),CONCATENATE("R",'Mapa final GC'!$A$21),"")</f>
        <v/>
      </c>
      <c r="Y39" s="736"/>
      <c r="Z39" s="736" t="str">
        <f>IF(AND('Mapa final GC'!$Q$22="Baja",'Mapa final GC'!$U$22="Moderado"),CONCATENATE("R",'Mapa final GC'!$A$22),"")</f>
        <v/>
      </c>
      <c r="AA39" s="736"/>
      <c r="AB39" s="736" t="str">
        <f>IF(AND('Mapa final GC'!$Q$23="Baja",'Mapa final GC'!$U$23="Moderado"),CONCATENATE("R",'Mapa final GC'!$A$23),"")</f>
        <v/>
      </c>
      <c r="AC39" s="749"/>
      <c r="AD39" s="727" t="str">
        <f>IF(AND('Mapa final GC'!$Q$21="Baja",'Mapa final GC'!$U$21="Mayor"),CONCATENATE("R",'Mapa final GC'!$A$21),"")</f>
        <v/>
      </c>
      <c r="AE39" s="724"/>
      <c r="AF39" s="724" t="str">
        <f>IF(AND('Mapa final GC'!$Q$22="Baja",'Mapa final GC'!$U$22="Mayor"),CONCATENATE("R",'Mapa final GC'!$A$22),"")</f>
        <v/>
      </c>
      <c r="AG39" s="724"/>
      <c r="AH39" s="724" t="str">
        <f>IF(AND('Mapa final GC'!$Q$23="Baja",'Mapa final GC'!$U$23="Mayor"),CONCATENATE("R",'Mapa final GC'!$A$23),"")</f>
        <v/>
      </c>
      <c r="AI39" s="724"/>
      <c r="AJ39" s="740" t="str">
        <f>IF(AND('Mapa final GC'!$Q$21="Baja",'Mapa final GC'!$U$21="Catastrófico"),CONCATENATE("R",'Mapa final GC'!$A$21),"")</f>
        <v/>
      </c>
      <c r="AK39" s="741"/>
      <c r="AL39" s="741" t="str">
        <f>IF(AND('Mapa final GC'!$Q$22="Baja",'Mapa final GC'!$U$22="Catastrófico"),CONCATENATE("R",'Mapa final GC'!$A$22),"")</f>
        <v/>
      </c>
      <c r="AM39" s="741"/>
      <c r="AN39" s="741" t="str">
        <f>IF(AND('Mapa final GC'!$Q$23="Baja",'Mapa final GC'!$U$23="Catastrófico"),CONCATENATE("R",'Mapa final GC'!$A$23),"")</f>
        <v/>
      </c>
      <c r="AO39" s="742"/>
      <c r="AP39" s="69"/>
      <c r="AQ39" s="711"/>
      <c r="AR39" s="712"/>
      <c r="AS39" s="712"/>
      <c r="AT39" s="712"/>
      <c r="AU39" s="712"/>
      <c r="AV39" s="713"/>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row>
    <row r="40" spans="3:82" ht="15" customHeight="1" x14ac:dyDescent="0.25">
      <c r="C40" s="69"/>
      <c r="D40" s="679"/>
      <c r="E40" s="679"/>
      <c r="F40" s="680"/>
      <c r="G40" s="719"/>
      <c r="H40" s="720"/>
      <c r="I40" s="720"/>
      <c r="J40" s="720"/>
      <c r="K40" s="720"/>
      <c r="L40" s="758"/>
      <c r="M40" s="759"/>
      <c r="N40" s="759"/>
      <c r="O40" s="759"/>
      <c r="P40" s="759"/>
      <c r="Q40" s="760"/>
      <c r="R40" s="736"/>
      <c r="S40" s="736"/>
      <c r="T40" s="736"/>
      <c r="U40" s="736"/>
      <c r="V40" s="736"/>
      <c r="W40" s="749"/>
      <c r="X40" s="735"/>
      <c r="Y40" s="736"/>
      <c r="Z40" s="736"/>
      <c r="AA40" s="736"/>
      <c r="AB40" s="736"/>
      <c r="AC40" s="749"/>
      <c r="AD40" s="727"/>
      <c r="AE40" s="724"/>
      <c r="AF40" s="724"/>
      <c r="AG40" s="724"/>
      <c r="AH40" s="724"/>
      <c r="AI40" s="724"/>
      <c r="AJ40" s="740"/>
      <c r="AK40" s="741"/>
      <c r="AL40" s="741"/>
      <c r="AM40" s="741"/>
      <c r="AN40" s="741"/>
      <c r="AO40" s="742"/>
      <c r="AP40" s="69"/>
      <c r="AQ40" s="711"/>
      <c r="AR40" s="712"/>
      <c r="AS40" s="712"/>
      <c r="AT40" s="712"/>
      <c r="AU40" s="712"/>
      <c r="AV40" s="713"/>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row>
    <row r="41" spans="3:82" ht="15" customHeight="1" x14ac:dyDescent="0.25">
      <c r="C41" s="69"/>
      <c r="D41" s="679"/>
      <c r="E41" s="679"/>
      <c r="F41" s="680"/>
      <c r="G41" s="719"/>
      <c r="H41" s="720"/>
      <c r="I41" s="720"/>
      <c r="J41" s="720"/>
      <c r="K41" s="720"/>
      <c r="L41" s="758" t="str">
        <f>IF(AND('Mapa final AU'!$Q$20="Baja",'Mapa final AU'!$U$20="Leve"),CONCATENATE("R",'Mapa final AU'!$D$20),"")</f>
        <v/>
      </c>
      <c r="M41" s="759"/>
      <c r="N41" s="759" t="str">
        <f>IF(AND('Mapa final AU'!$Q$15="Baja",'Mapa final AU'!$U$15="Leve"),CONCATENATE("R",'Mapa final AU'!$D$15),"")</f>
        <v/>
      </c>
      <c r="O41" s="759"/>
      <c r="P41" s="759" t="str">
        <f>IF(AND('Mapa final AU'!$Q$15="Baja",'Mapa final AU'!$U$15="Leve"),CONCATENATE("R",'Mapa final AU'!$D$15),"")</f>
        <v/>
      </c>
      <c r="Q41" s="760"/>
      <c r="R41" s="736" t="str">
        <f>IF(AND('Mapa final GC'!$Q$24="Baja",'Mapa final GC'!$U$24="Menor"),CONCATENATE("R",'Mapa final GC'!$A$24),"")</f>
        <v/>
      </c>
      <c r="S41" s="736"/>
      <c r="T41" s="736" t="str">
        <f>IF(AND('Mapa final GC'!$Q$25="Baja",'Mapa final GC'!$U$25="Menor"),CONCATENATE("R",'Mapa final GC'!$A$25),"")</f>
        <v/>
      </c>
      <c r="U41" s="736"/>
      <c r="V41" s="736" t="str">
        <f>IF(AND('Mapa final GC'!$Q$26="Baja",'Mapa final GC'!$U$26="Menor"),CONCATENATE("R",'Mapa final GC'!$A$26),"")</f>
        <v/>
      </c>
      <c r="W41" s="749"/>
      <c r="X41" s="735" t="str">
        <f>IF(AND('Mapa final GC'!$Q$24="Baja",'Mapa final GC'!$U$24="Moderado"),CONCATENATE("R",'Mapa final GC'!$A$24),"")</f>
        <v/>
      </c>
      <c r="Y41" s="736"/>
      <c r="Z41" s="736" t="str">
        <f>IF(AND('Mapa final GC'!$Q$25="Baja",'Mapa final GC'!$U$25="Moderado"),CONCATENATE("R",'Mapa final GC'!$A$25),"")</f>
        <v/>
      </c>
      <c r="AA41" s="736"/>
      <c r="AB41" s="736" t="str">
        <f>IF(AND('Mapa final GC'!$Q$26="Baja",'Mapa final GC'!$U$26="Moderado"),CONCATENATE("R",'Mapa final GC'!$A$26),"")</f>
        <v/>
      </c>
      <c r="AC41" s="749"/>
      <c r="AD41" s="727" t="str">
        <f>IF(AND('Mapa final GC'!$Q$24="Baja",'Mapa final GC'!$U$24="Mayor"),CONCATENATE("R",'Mapa final GC'!$A$24),"")</f>
        <v/>
      </c>
      <c r="AE41" s="724"/>
      <c r="AF41" s="724" t="str">
        <f>IF(AND('Mapa final GC'!$Q$25="Baja",'Mapa final GC'!$U$25="Mayor"),CONCATENATE("R",'Mapa final GC'!$A$25),"")</f>
        <v/>
      </c>
      <c r="AG41" s="724"/>
      <c r="AH41" s="724" t="str">
        <f>IF(AND('Mapa final GC'!$Q$26="Baja",'Mapa final GC'!$U$26="Mayor"),CONCATENATE("R",'Mapa final GC'!$A$26),"")</f>
        <v/>
      </c>
      <c r="AI41" s="724"/>
      <c r="AJ41" s="740" t="str">
        <f>IF(AND('Mapa final GC'!$Q$24="Baja",'Mapa final GC'!$U$24="Catastrófico"),CONCATENATE("R",'Mapa final GC'!$A$24),"")</f>
        <v/>
      </c>
      <c r="AK41" s="741"/>
      <c r="AL41" s="741" t="str">
        <f>IF(AND('Mapa final GC'!$Q$25="Baja",'Mapa final GC'!$U$25="Catastrófico"),CONCATENATE("R",'Mapa final GC'!$A$25),"")</f>
        <v/>
      </c>
      <c r="AM41" s="741"/>
      <c r="AN41" s="741" t="str">
        <f>IF(AND('Mapa final GC'!$Q$26="Baja",'Mapa final GC'!$U$26="Catastrófico"),CONCATENATE("R",'Mapa final GC'!$A$26),"")</f>
        <v/>
      </c>
      <c r="AO41" s="742"/>
      <c r="AP41" s="69"/>
      <c r="AQ41" s="711"/>
      <c r="AR41" s="712"/>
      <c r="AS41" s="712"/>
      <c r="AT41" s="712"/>
      <c r="AU41" s="712"/>
      <c r="AV41" s="713"/>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row>
    <row r="42" spans="3:82" ht="15.75" customHeight="1" thickBot="1" x14ac:dyDescent="0.3">
      <c r="C42" s="69"/>
      <c r="D42" s="679"/>
      <c r="E42" s="679"/>
      <c r="F42" s="680"/>
      <c r="G42" s="721"/>
      <c r="H42" s="722"/>
      <c r="I42" s="722"/>
      <c r="J42" s="722"/>
      <c r="K42" s="722"/>
      <c r="L42" s="761"/>
      <c r="M42" s="762"/>
      <c r="N42" s="762"/>
      <c r="O42" s="762"/>
      <c r="P42" s="762"/>
      <c r="Q42" s="763"/>
      <c r="R42" s="751"/>
      <c r="S42" s="751"/>
      <c r="T42" s="751"/>
      <c r="U42" s="751"/>
      <c r="V42" s="751"/>
      <c r="W42" s="752"/>
      <c r="X42" s="750"/>
      <c r="Y42" s="751"/>
      <c r="Z42" s="751"/>
      <c r="AA42" s="751"/>
      <c r="AB42" s="751"/>
      <c r="AC42" s="752"/>
      <c r="AD42" s="738"/>
      <c r="AE42" s="733"/>
      <c r="AF42" s="733"/>
      <c r="AG42" s="733"/>
      <c r="AH42" s="733"/>
      <c r="AI42" s="733"/>
      <c r="AJ42" s="746"/>
      <c r="AK42" s="747"/>
      <c r="AL42" s="747"/>
      <c r="AM42" s="747"/>
      <c r="AN42" s="747"/>
      <c r="AO42" s="748"/>
      <c r="AP42" s="69"/>
      <c r="AQ42" s="714"/>
      <c r="AR42" s="715"/>
      <c r="AS42" s="715"/>
      <c r="AT42" s="715"/>
      <c r="AU42" s="715"/>
      <c r="AV42" s="716"/>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row>
    <row r="43" spans="3:82" ht="15" customHeight="1" x14ac:dyDescent="0.25">
      <c r="C43" s="69"/>
      <c r="D43" s="679"/>
      <c r="E43" s="679"/>
      <c r="F43" s="680"/>
      <c r="G43" s="717" t="s">
        <v>111</v>
      </c>
      <c r="H43" s="718"/>
      <c r="I43" s="718"/>
      <c r="J43" s="718"/>
      <c r="K43" s="718"/>
      <c r="L43" s="768" t="str">
        <f>IF(AND('Mapa final AU'!$Q$15="Muy Baja",'Mapa final AU'!$U$15="Leve"),CONCATENATE("R",'Mapa final AU'!$D$15),"")</f>
        <v>R1AU</v>
      </c>
      <c r="M43" s="756"/>
      <c r="N43" s="756" t="str">
        <f>IF(AND('Mapa final GC'!$L$16="Muy Baja",'Mapa final GC'!$P$16="Leve"),CONCATENATE("R",'Mapa final GC'!$A$16),"")</f>
        <v/>
      </c>
      <c r="O43" s="756"/>
      <c r="P43" s="756" t="str">
        <f>IF(AND('Mapa final AU'!$Q$17="Muy Baja",'Mapa final AU'!$U$17="Leve"),CONCATENATE("R",'Mapa final AU'!$D$17),"")</f>
        <v>R3AU</v>
      </c>
      <c r="Q43" s="757"/>
      <c r="R43" s="771" t="str">
        <f>IF(AND('Mapa final GC'!$Q$15="Muy Baja",'Mapa final GC'!$U$15="Menor"),CONCATENATE("R",'Mapa final GC'!$A$15),"")</f>
        <v/>
      </c>
      <c r="S43" s="772"/>
      <c r="T43" s="772" t="str">
        <f>IF(AND('Mapa final GC'!$Q$16="Muy Baja",'Mapa final GC'!$U$16="Menor"),CONCATENATE("R",'Mapa final GC'!$A$16),"")</f>
        <v/>
      </c>
      <c r="U43" s="772"/>
      <c r="V43" s="772" t="str">
        <f>IF(AND('Mapa final GC'!$Q$17="Muy Baja",'Mapa final GC'!$U$17="Menor"),CONCATENATE("R",'Mapa final GC'!$A$17),"")</f>
        <v/>
      </c>
      <c r="W43" s="773"/>
      <c r="X43" s="753" t="str">
        <f>IF(AND('Mapa final GC'!$Q$15="Muy Baja",'Mapa final GC'!$U$15="Moderado"),CONCATENATE("R",'Mapa final GC'!$A$15),"")</f>
        <v/>
      </c>
      <c r="Y43" s="754"/>
      <c r="Z43" s="754" t="str">
        <f>IF(AND('Mapa final GC'!Q$16="Muy Baja",'Mapa final GC'!$U$16="Moderado"),CONCATENATE("R",'Mapa final GC'!$A$16),"")</f>
        <v/>
      </c>
      <c r="AA43" s="754"/>
      <c r="AB43" s="754" t="str">
        <f>IF(AND('Mapa final GC'!$Q$17="Muy Baja",'Mapa final GC'!$U$17="Moderado"),CONCATENATE("R",'Mapa final GC'!$A$17),"")</f>
        <v/>
      </c>
      <c r="AC43" s="755"/>
      <c r="AD43" s="725" t="str">
        <f>IF(AND('Mapa final GC'!$Q$15="Muy Baja",'Mapa final GC'!$U$15="Mayor"),CONCATENATE("R",'Mapa final GC'!$A$15),"")</f>
        <v/>
      </c>
      <c r="AE43" s="726"/>
      <c r="AF43" s="726" t="str">
        <f>IF(AND('Mapa final GC'!$Q$16="Muy Baja",'Mapa final GC'!$U$16="Mayor"),CONCATENATE("R",'Mapa final GC'!$A$16),"")</f>
        <v/>
      </c>
      <c r="AG43" s="726"/>
      <c r="AH43" s="726" t="str">
        <f>IF(AND('Mapa final GC'!$Q$17="Muy Baja",'Mapa final GC'!$U$17="Mayor"),CONCATENATE("R",'Mapa final GC'!$A$17),"")</f>
        <v/>
      </c>
      <c r="AI43" s="739"/>
      <c r="AJ43" s="740" t="str">
        <f>IF(AND('Mapa final GC'!$Q$15="Muy Baja",'Mapa final GC'!$U$15="Catastrófico"),CONCATENATE("R",'Mapa final GC'!$A$15),"")</f>
        <v/>
      </c>
      <c r="AK43" s="741"/>
      <c r="AL43" s="741" t="str">
        <f>IF(AND('Mapa final GC'!$Q$16="Muy Baja",'Mapa final GC'!$U$16="Catastrófico"),CONCATENATE("R",'Mapa final GC'!$A$16),"")</f>
        <v/>
      </c>
      <c r="AM43" s="741"/>
      <c r="AN43" s="741" t="str">
        <f>IF(AND('Mapa final GC'!$Q$17="Muy Baja",'Mapa final GC'!$U$17="Catastrófico"),CONCATENATE("R",'Mapa final GC'!$A$17),"")</f>
        <v/>
      </c>
      <c r="AO43" s="742"/>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row>
    <row r="44" spans="3:82" ht="15" customHeight="1" x14ac:dyDescent="0.25">
      <c r="C44" s="69"/>
      <c r="D44" s="679"/>
      <c r="E44" s="679"/>
      <c r="F44" s="680"/>
      <c r="G44" s="719"/>
      <c r="H44" s="720"/>
      <c r="I44" s="720"/>
      <c r="J44" s="720"/>
      <c r="K44" s="720"/>
      <c r="L44" s="768"/>
      <c r="M44" s="756"/>
      <c r="N44" s="756"/>
      <c r="O44" s="756"/>
      <c r="P44" s="756"/>
      <c r="Q44" s="757"/>
      <c r="R44" s="768"/>
      <c r="S44" s="756"/>
      <c r="T44" s="756"/>
      <c r="U44" s="756"/>
      <c r="V44" s="756"/>
      <c r="W44" s="757"/>
      <c r="X44" s="735"/>
      <c r="Y44" s="736"/>
      <c r="Z44" s="736"/>
      <c r="AA44" s="736"/>
      <c r="AB44" s="736"/>
      <c r="AC44" s="749"/>
      <c r="AD44" s="727"/>
      <c r="AE44" s="724"/>
      <c r="AF44" s="724"/>
      <c r="AG44" s="724"/>
      <c r="AH44" s="724"/>
      <c r="AI44" s="732"/>
      <c r="AJ44" s="740"/>
      <c r="AK44" s="741"/>
      <c r="AL44" s="741"/>
      <c r="AM44" s="741"/>
      <c r="AN44" s="741"/>
      <c r="AO44" s="742"/>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row>
    <row r="45" spans="3:82" ht="15" customHeight="1" x14ac:dyDescent="0.25">
      <c r="C45" s="69"/>
      <c r="D45" s="679"/>
      <c r="E45" s="679"/>
      <c r="F45" s="680"/>
      <c r="G45" s="719"/>
      <c r="H45" s="720"/>
      <c r="I45" s="720"/>
      <c r="J45" s="720"/>
      <c r="K45" s="720"/>
      <c r="L45" s="768" t="str">
        <f>IF(AND('Mapa final AU'!$Q$18="Muy Baja",'Mapa final AU'!$U$18="Leve"),CONCATENATE("R",'Mapa final AU'!$D$18),"")</f>
        <v>R4AU</v>
      </c>
      <c r="M45" s="756"/>
      <c r="N45" s="756" t="str">
        <f>IF(AND('Mapa final GC'!$L$20="Muy Baja",'Mapa final GC'!$P$20="Leve"),CONCATENATE("R",'Mapa final GC'!$A$20),"")</f>
        <v/>
      </c>
      <c r="O45" s="756"/>
      <c r="P45" s="756" t="e">
        <f>IF(AND('Mapa final GC'!#REF!="Muy Baja",'Mapa final GC'!#REF!="Leve"),CONCATENATE("R",'Mapa final GC'!#REF!),"")</f>
        <v>#REF!</v>
      </c>
      <c r="Q45" s="757"/>
      <c r="R45" s="768" t="str">
        <f>IF(AND('Mapa final GC'!$Q$19="Muy Baja",'Mapa final GC'!$U$19="Menor"),CONCATENATE("R",'Mapa final GC'!$A$19),"")</f>
        <v/>
      </c>
      <c r="S45" s="756"/>
      <c r="T45" s="756" t="str">
        <f>IF(AND('Mapa final GC'!$Q$20="Muy Baja",'Mapa final GC'!$U$20="Menor"),CONCATENATE("R",'Mapa final GC'!$A$20),"")</f>
        <v/>
      </c>
      <c r="U45" s="756"/>
      <c r="V45" s="756" t="e">
        <f>IF(AND('Mapa final GC'!#REF!="Muy Baja",'Mapa final GC'!#REF!="Menor"),CONCATENATE("R",'Mapa final GC'!#REF!),"")</f>
        <v>#REF!</v>
      </c>
      <c r="W45" s="757"/>
      <c r="X45" s="735" t="str">
        <f>IF(AND('Mapa final GC'!$Q$19="Muy Baja",'Mapa final GC'!$U$19="Moderado"),CONCATENATE("R",'Mapa final GC'!$A$19),"")</f>
        <v/>
      </c>
      <c r="Y45" s="736"/>
      <c r="Z45" s="736" t="str">
        <f>IF(AND('Mapa final GC'!$Q$20="Muy Baja",'Mapa final GC'!$U$20="Moderado"),CONCATENATE("R",'Mapa final GC'!$A$20),"")</f>
        <v/>
      </c>
      <c r="AA45" s="736"/>
      <c r="AB45" s="736" t="e">
        <f>IF(AND('Mapa final GC'!#REF!="Muy Baja",'Mapa final GC'!#REF!="Moderado"),CONCATENATE("R",'Mapa final GC'!#REF!),"")</f>
        <v>#REF!</v>
      </c>
      <c r="AC45" s="749"/>
      <c r="AD45" s="727" t="str">
        <f>IF(AND('Mapa final GC'!$Q$19="Muy Baja",'Mapa final GC'!$U$19="Mayor"),CONCATENATE("R",'Mapa final GC'!$A$19),"")</f>
        <v/>
      </c>
      <c r="AE45" s="724"/>
      <c r="AF45" s="724" t="str">
        <f>IF(AND('Mapa final GC'!$Q$20="Muy Baja",'Mapa final GC'!$U$20="Mayor"),CONCATENATE("R",'Mapa final GC'!$A$20),"")</f>
        <v/>
      </c>
      <c r="AG45" s="724"/>
      <c r="AH45" s="724" t="e">
        <f>IF(AND('Mapa final GC'!#REF!="Muy Baja",'Mapa final GC'!#REF!="Mayor"),CONCATENATE("R",'Mapa final GC'!#REF!),"")</f>
        <v>#REF!</v>
      </c>
      <c r="AI45" s="732"/>
      <c r="AJ45" s="740" t="str">
        <f>IF(AND('Mapa final GC'!$Q$19="Muy Baja",'Mapa final GC'!$U$19="Catastrófico"),CONCATENATE("R",'Mapa final GC'!$A$19),"")</f>
        <v/>
      </c>
      <c r="AK45" s="741"/>
      <c r="AL45" s="741" t="str">
        <f>IF(AND('Mapa final GC'!$Q$20="Muy Baja",'Mapa final GC'!$U$20="Catastrófico"),CONCATENATE("R",'Mapa final GC'!$A$20),"")</f>
        <v/>
      </c>
      <c r="AM45" s="741"/>
      <c r="AN45" s="741" t="e">
        <f>IF(AND('Mapa final GC'!#REF!="Muy Baja",'Mapa final GC'!#REF!="Catastrófico"),CONCATENATE("R",'Mapa final GC'!#REF!),"")</f>
        <v>#REF!</v>
      </c>
      <c r="AO45" s="742"/>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row>
    <row r="46" spans="3:82" ht="15" customHeight="1" x14ac:dyDescent="0.25">
      <c r="C46" s="69"/>
      <c r="D46" s="679"/>
      <c r="E46" s="679"/>
      <c r="F46" s="680"/>
      <c r="G46" s="719"/>
      <c r="H46" s="720"/>
      <c r="I46" s="720"/>
      <c r="J46" s="720"/>
      <c r="K46" s="720"/>
      <c r="L46" s="768"/>
      <c r="M46" s="756"/>
      <c r="N46" s="756"/>
      <c r="O46" s="756"/>
      <c r="P46" s="756"/>
      <c r="Q46" s="757"/>
      <c r="R46" s="768"/>
      <c r="S46" s="756"/>
      <c r="T46" s="756"/>
      <c r="U46" s="756"/>
      <c r="V46" s="756"/>
      <c r="W46" s="757"/>
      <c r="X46" s="735"/>
      <c r="Y46" s="736"/>
      <c r="Z46" s="736"/>
      <c r="AA46" s="736"/>
      <c r="AB46" s="736"/>
      <c r="AC46" s="749"/>
      <c r="AD46" s="727"/>
      <c r="AE46" s="724"/>
      <c r="AF46" s="724"/>
      <c r="AG46" s="724"/>
      <c r="AH46" s="724"/>
      <c r="AI46" s="732"/>
      <c r="AJ46" s="740"/>
      <c r="AK46" s="741"/>
      <c r="AL46" s="741"/>
      <c r="AM46" s="741"/>
      <c r="AN46" s="741"/>
      <c r="AO46" s="742"/>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row>
    <row r="47" spans="3:82" ht="15" customHeight="1" x14ac:dyDescent="0.25">
      <c r="C47" s="69"/>
      <c r="D47" s="679"/>
      <c r="E47" s="679"/>
      <c r="F47" s="680"/>
      <c r="G47" s="719"/>
      <c r="H47" s="720"/>
      <c r="I47" s="720"/>
      <c r="J47" s="720"/>
      <c r="K47" s="720"/>
      <c r="L47" s="768" t="str">
        <f>IF(AND('Mapa final GC'!$Q$21="Muy Baja",'Mapa final GC'!$U$21="Leve"),CONCATENATE("R",'Mapa final GC'!$A$21),"")</f>
        <v/>
      </c>
      <c r="M47" s="756"/>
      <c r="N47" s="756" t="str">
        <f>IF(AND('Mapa final GC'!$L$22="Muy Baja",'Mapa final GC'!$P$22="Leve"),CONCATENATE("R",'Mapa final GC'!$A$22),"")</f>
        <v/>
      </c>
      <c r="O47" s="756"/>
      <c r="P47" s="756" t="str">
        <f>IF(AND('Mapa final GC'!$L$23="Muy Baja",'Mapa final GC'!$P$23="Leve"),CONCATENATE("R",'Mapa final GC'!$A$23),"")</f>
        <v/>
      </c>
      <c r="Q47" s="757"/>
      <c r="R47" s="768" t="str">
        <f>IF(AND('Mapa final GC'!$Q$21="Muy Baja",'Mapa final GC'!$U$21="Menor"),CONCATENATE("R",'Mapa final GC'!$A$21),"")</f>
        <v/>
      </c>
      <c r="S47" s="756"/>
      <c r="T47" s="756" t="str">
        <f>IF(AND('Mapa final GC'!$LR$22="Muy Baja",'Mapa final GC'!$U$22="Menor"),CONCATENATE("R",'Mapa final GC'!$A$22),"")</f>
        <v/>
      </c>
      <c r="U47" s="756"/>
      <c r="V47" s="756" t="str">
        <f>IF(AND('Mapa final GC'!$Q$23="Muy Baja",'Mapa final GC'!$U$23="Menor"),CONCATENATE("R",'Mapa final GC'!$A$23),"")</f>
        <v/>
      </c>
      <c r="W47" s="757"/>
      <c r="X47" s="735" t="str">
        <f>IF(AND('Mapa final GC'!$Q$21="Muy Baja",'Mapa final GC'!$U$21="Moderado"),CONCATENATE("R",'Mapa final GC'!$A$21),"")</f>
        <v/>
      </c>
      <c r="Y47" s="736"/>
      <c r="Z47" s="736" t="str">
        <f>IF(AND('Mapa final GC'!$Q$22="Muy Baja",'Mapa final GC'!$U$22="Moderado"),CONCATENATE("R",'Mapa final GC'!$A$22),"")</f>
        <v/>
      </c>
      <c r="AA47" s="736"/>
      <c r="AB47" s="736" t="str">
        <f>IF(AND('Mapa final GC'!$Q$23="Muy Baja",'Mapa final GC'!$U$23="Moderado"),CONCATENATE("R",'Mapa final GC'!$A$23),"")</f>
        <v/>
      </c>
      <c r="AC47" s="749"/>
      <c r="AD47" s="727" t="str">
        <f>IF(AND('Mapa final GC'!$Q$21="Muy Baja",'Mapa final GC'!$U$21="Mayor"),CONCATENATE("R",'Mapa final GC'!$A$21),"")</f>
        <v/>
      </c>
      <c r="AE47" s="724"/>
      <c r="AF47" s="724" t="str">
        <f>IF(AND('Mapa final GC'!$Q$22="Muy Baja",'Mapa final GC'!$U$22="Mayor"),CONCATENATE("R",'Mapa final GC'!$A$22),"")</f>
        <v/>
      </c>
      <c r="AG47" s="724"/>
      <c r="AH47" s="724" t="str">
        <f>IF(AND('Mapa final GC'!$Q$23="Muy Baja",'Mapa final GC'!$U$23="Mayor"),CONCATENATE("R",'Mapa final GC'!$A$23),"")</f>
        <v/>
      </c>
      <c r="AI47" s="732"/>
      <c r="AJ47" s="740" t="str">
        <f>IF(AND('Mapa final GC'!$Q$21="Muy Baja",'Mapa final GC'!$U$21="Catastrófico"),CONCATENATE("R",'Mapa final GC'!$A$21),"")</f>
        <v/>
      </c>
      <c r="AK47" s="741"/>
      <c r="AL47" s="741" t="str">
        <f>IF(AND('Mapa final GC'!$Q$22="Muy Baja",'Mapa final GC'!$U$22="Catastrófico"),CONCATENATE("R",'Mapa final GC'!$A$22),"")</f>
        <v/>
      </c>
      <c r="AM47" s="741"/>
      <c r="AN47" s="741" t="str">
        <f>IF(AND('Mapa final GC'!$Q$23="Muy Baja",'Mapa final GC'!$U$23="Catastrófico"),CONCATENATE("R",'Mapa final GC'!$A$23),"")</f>
        <v/>
      </c>
      <c r="AO47" s="742"/>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row>
    <row r="48" spans="3:82" ht="15" customHeight="1" x14ac:dyDescent="0.25">
      <c r="C48" s="69"/>
      <c r="D48" s="679"/>
      <c r="E48" s="679"/>
      <c r="F48" s="680"/>
      <c r="G48" s="719"/>
      <c r="H48" s="720"/>
      <c r="I48" s="720"/>
      <c r="J48" s="720"/>
      <c r="K48" s="720"/>
      <c r="L48" s="768"/>
      <c r="M48" s="756"/>
      <c r="N48" s="756"/>
      <c r="O48" s="756"/>
      <c r="P48" s="756"/>
      <c r="Q48" s="757"/>
      <c r="R48" s="768"/>
      <c r="S48" s="756"/>
      <c r="T48" s="756"/>
      <c r="U48" s="756"/>
      <c r="V48" s="756"/>
      <c r="W48" s="757"/>
      <c r="X48" s="735"/>
      <c r="Y48" s="736"/>
      <c r="Z48" s="736"/>
      <c r="AA48" s="736"/>
      <c r="AB48" s="736"/>
      <c r="AC48" s="749"/>
      <c r="AD48" s="727"/>
      <c r="AE48" s="724"/>
      <c r="AF48" s="724"/>
      <c r="AG48" s="724"/>
      <c r="AH48" s="724"/>
      <c r="AI48" s="732"/>
      <c r="AJ48" s="740"/>
      <c r="AK48" s="741"/>
      <c r="AL48" s="741"/>
      <c r="AM48" s="741"/>
      <c r="AN48" s="741"/>
      <c r="AO48" s="742"/>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row>
    <row r="49" spans="3:82" ht="15" customHeight="1" x14ac:dyDescent="0.25">
      <c r="C49" s="69"/>
      <c r="D49" s="679"/>
      <c r="E49" s="679"/>
      <c r="F49" s="680"/>
      <c r="G49" s="719"/>
      <c r="H49" s="720"/>
      <c r="I49" s="720"/>
      <c r="J49" s="720"/>
      <c r="K49" s="720"/>
      <c r="L49" s="768" t="str">
        <f>IF(AND('Mapa final GC'!$Q$24="Muy Baja",'Mapa final GC'!$U$24="Leve"),CONCATENATE("R",'Mapa final GC'!$A$24),"")</f>
        <v/>
      </c>
      <c r="M49" s="756"/>
      <c r="N49" s="756" t="str">
        <f>IF(AND('Mapa final GC'!$L$25="Muy Baja",'Mapa final GC'!$P$25="Leve"),CONCATENATE("R",'Mapa final GC'!$A$25),"")</f>
        <v/>
      </c>
      <c r="O49" s="756"/>
      <c r="P49" s="756" t="str">
        <f>IF(AND('Mapa final GC'!$L$26="Muy Baja",'Mapa final GC'!$P$26="Leve"),CONCATENATE("R",'Mapa final GC'!$A$26),"")</f>
        <v/>
      </c>
      <c r="Q49" s="757"/>
      <c r="R49" s="756" t="str">
        <f>IF(AND('Mapa final GC'!$Q$24="Muy Baja",'Mapa final GC'!$U$24="Menor"),CONCATENATE("R",'Mapa final GC'!$A$24),"")</f>
        <v/>
      </c>
      <c r="S49" s="756"/>
      <c r="T49" s="756" t="str">
        <f>IF(AND('Mapa final GC'!$Q$25="Muy Baja",'Mapa final GC'!$U$25="Menor"),CONCATENATE("R",'Mapa final GC'!$A$25),"")</f>
        <v/>
      </c>
      <c r="U49" s="756"/>
      <c r="V49" s="756" t="str">
        <f>IF(AND('Mapa final GC'!$Q$26="Muy Baja",'Mapa final GC'!$U$26="Menor"),CONCATENATE("R",'Mapa final GC'!$A$26),"")</f>
        <v/>
      </c>
      <c r="W49" s="757"/>
      <c r="X49" s="735" t="str">
        <f>IF(AND('Mapa final GC'!$Q$24="Muy Baja",'Mapa final GC'!$U$24="Moderado"),CONCATENATE("R",'Mapa final GC'!$A$24),"")</f>
        <v/>
      </c>
      <c r="Y49" s="736"/>
      <c r="Z49" s="736" t="str">
        <f>IF(AND('Mapa final GC'!$Q$25="Muy Baja",'Mapa final GC'!$U$25="Moderado"),CONCATENATE("R",'Mapa final GC'!$A$25),"")</f>
        <v/>
      </c>
      <c r="AA49" s="736"/>
      <c r="AB49" s="736" t="str">
        <f>IF(AND('Mapa final GC'!$Q$26="Muy Baja",'Mapa final GC'!$U$26="Moderado"),CONCATENATE("R",'Mapa final GC'!$A$26),"")</f>
        <v/>
      </c>
      <c r="AC49" s="749"/>
      <c r="AD49" s="727" t="str">
        <f>IF(AND('Mapa final GC'!$Q$24="Muy Baja",'Mapa final GC'!$U$24="Mayor"),CONCATENATE("R",'Mapa final GC'!$A$24),"")</f>
        <v/>
      </c>
      <c r="AE49" s="724"/>
      <c r="AF49" s="724" t="str">
        <f>IF(AND('Mapa final GC'!$Q$25="Muy Baja",'Mapa final GC'!$U$25="Mayor"),CONCATENATE("R",'Mapa final GC'!$A$25),"")</f>
        <v/>
      </c>
      <c r="AG49" s="724"/>
      <c r="AH49" s="724" t="str">
        <f>IF(AND('Mapa final GC'!$Q$26="Muy Baja",'Mapa final GC'!$U$26="Mayor"),CONCATENATE("R",'Mapa final GC'!$A$26),"")</f>
        <v/>
      </c>
      <c r="AI49" s="732"/>
      <c r="AJ49" s="740" t="str">
        <f>IF(AND('Mapa final GC'!$Q$24="Muy Baja",'Mapa final GC'!$U$24="Catastrófico"),CONCATENATE("R",'Mapa final GC'!$A$24),"")</f>
        <v/>
      </c>
      <c r="AK49" s="741"/>
      <c r="AL49" s="741" t="str">
        <f>IF(AND('Mapa final GC'!$Q$25="Muy Baja",'Mapa final GC'!$U$25="Catastrófico"),CONCATENATE("R",'Mapa final GC'!$A$25),"")</f>
        <v/>
      </c>
      <c r="AM49" s="741"/>
      <c r="AN49" s="741" t="str">
        <f>IF(AND('Mapa final GC'!$Q$26="Muy Baja",'Mapa final GC'!$U$26="Catastrófico"),CONCATENATE("R",'Mapa final GC'!$A$26),"")</f>
        <v/>
      </c>
      <c r="AO49" s="742"/>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row>
    <row r="50" spans="3:82" ht="15.75" customHeight="1" thickBot="1" x14ac:dyDescent="0.3">
      <c r="C50" s="69"/>
      <c r="D50" s="679"/>
      <c r="E50" s="679"/>
      <c r="F50" s="680"/>
      <c r="G50" s="721"/>
      <c r="H50" s="722"/>
      <c r="I50" s="722"/>
      <c r="J50" s="722"/>
      <c r="K50" s="722"/>
      <c r="L50" s="774"/>
      <c r="M50" s="769"/>
      <c r="N50" s="769"/>
      <c r="O50" s="769"/>
      <c r="P50" s="769"/>
      <c r="Q50" s="770"/>
      <c r="R50" s="769"/>
      <c r="S50" s="769"/>
      <c r="T50" s="769"/>
      <c r="U50" s="769"/>
      <c r="V50" s="769"/>
      <c r="W50" s="770"/>
      <c r="X50" s="750"/>
      <c r="Y50" s="751"/>
      <c r="Z50" s="751"/>
      <c r="AA50" s="751"/>
      <c r="AB50" s="751"/>
      <c r="AC50" s="752"/>
      <c r="AD50" s="738"/>
      <c r="AE50" s="733"/>
      <c r="AF50" s="733"/>
      <c r="AG50" s="733"/>
      <c r="AH50" s="733"/>
      <c r="AI50" s="734"/>
      <c r="AJ50" s="746"/>
      <c r="AK50" s="747"/>
      <c r="AL50" s="747"/>
      <c r="AM50" s="747"/>
      <c r="AN50" s="747"/>
      <c r="AO50" s="748"/>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row>
    <row r="51" spans="3:82" x14ac:dyDescent="0.25">
      <c r="C51" s="69"/>
      <c r="D51" s="69"/>
      <c r="E51" s="69"/>
      <c r="F51" s="69"/>
      <c r="G51" s="69"/>
      <c r="H51" s="69"/>
      <c r="I51" s="69"/>
      <c r="J51" s="69"/>
      <c r="K51" s="69"/>
      <c r="L51" s="728" t="s">
        <v>110</v>
      </c>
      <c r="M51" s="720"/>
      <c r="N51" s="720"/>
      <c r="O51" s="720"/>
      <c r="P51" s="720"/>
      <c r="Q51" s="729"/>
      <c r="R51" s="717" t="s">
        <v>109</v>
      </c>
      <c r="S51" s="718"/>
      <c r="T51" s="718"/>
      <c r="U51" s="718"/>
      <c r="V51" s="718"/>
      <c r="W51" s="731"/>
      <c r="X51" s="717" t="s">
        <v>108</v>
      </c>
      <c r="Y51" s="718"/>
      <c r="Z51" s="718"/>
      <c r="AA51" s="718"/>
      <c r="AB51" s="718"/>
      <c r="AC51" s="731"/>
      <c r="AD51" s="717" t="s">
        <v>107</v>
      </c>
      <c r="AE51" s="737"/>
      <c r="AF51" s="718"/>
      <c r="AG51" s="718"/>
      <c r="AH51" s="718"/>
      <c r="AI51" s="731"/>
      <c r="AJ51" s="717" t="s">
        <v>106</v>
      </c>
      <c r="AK51" s="718"/>
      <c r="AL51" s="718"/>
      <c r="AM51" s="718"/>
      <c r="AN51" s="718"/>
      <c r="AO51" s="731"/>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row>
    <row r="52" spans="3:82" x14ac:dyDescent="0.25">
      <c r="C52" s="69"/>
      <c r="D52" s="69"/>
      <c r="E52" s="69"/>
      <c r="F52" s="69"/>
      <c r="G52" s="69"/>
      <c r="H52" s="69"/>
      <c r="I52" s="69"/>
      <c r="J52" s="69"/>
      <c r="K52" s="69"/>
      <c r="L52" s="719"/>
      <c r="M52" s="720"/>
      <c r="N52" s="720"/>
      <c r="O52" s="720"/>
      <c r="P52" s="720"/>
      <c r="Q52" s="729"/>
      <c r="R52" s="719"/>
      <c r="S52" s="720"/>
      <c r="T52" s="720"/>
      <c r="U52" s="720"/>
      <c r="V52" s="720"/>
      <c r="W52" s="729"/>
      <c r="X52" s="719"/>
      <c r="Y52" s="720"/>
      <c r="Z52" s="720"/>
      <c r="AA52" s="720"/>
      <c r="AB52" s="720"/>
      <c r="AC52" s="729"/>
      <c r="AD52" s="719"/>
      <c r="AE52" s="720"/>
      <c r="AF52" s="720"/>
      <c r="AG52" s="720"/>
      <c r="AH52" s="720"/>
      <c r="AI52" s="729"/>
      <c r="AJ52" s="719"/>
      <c r="AK52" s="720"/>
      <c r="AL52" s="720"/>
      <c r="AM52" s="720"/>
      <c r="AN52" s="720"/>
      <c r="AO52" s="72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row>
    <row r="53" spans="3:82" x14ac:dyDescent="0.25">
      <c r="C53" s="69"/>
      <c r="D53" s="69"/>
      <c r="E53" s="69"/>
      <c r="F53" s="69"/>
      <c r="G53" s="69"/>
      <c r="H53" s="69"/>
      <c r="I53" s="69"/>
      <c r="J53" s="69"/>
      <c r="K53" s="69"/>
      <c r="L53" s="719"/>
      <c r="M53" s="720"/>
      <c r="N53" s="720"/>
      <c r="O53" s="720"/>
      <c r="P53" s="720"/>
      <c r="Q53" s="729"/>
      <c r="R53" s="719"/>
      <c r="S53" s="720"/>
      <c r="T53" s="720"/>
      <c r="U53" s="720"/>
      <c r="V53" s="720"/>
      <c r="W53" s="729"/>
      <c r="X53" s="719"/>
      <c r="Y53" s="720"/>
      <c r="Z53" s="720"/>
      <c r="AA53" s="720"/>
      <c r="AB53" s="720"/>
      <c r="AC53" s="729"/>
      <c r="AD53" s="719"/>
      <c r="AE53" s="720"/>
      <c r="AF53" s="720"/>
      <c r="AG53" s="720"/>
      <c r="AH53" s="720"/>
      <c r="AI53" s="729"/>
      <c r="AJ53" s="719"/>
      <c r="AK53" s="720"/>
      <c r="AL53" s="720"/>
      <c r="AM53" s="720"/>
      <c r="AN53" s="720"/>
      <c r="AO53" s="72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row>
    <row r="54" spans="3:82" x14ac:dyDescent="0.25">
      <c r="C54" s="69"/>
      <c r="D54" s="69"/>
      <c r="E54" s="69"/>
      <c r="F54" s="69"/>
      <c r="G54" s="69"/>
      <c r="H54" s="69"/>
      <c r="I54" s="69"/>
      <c r="J54" s="69"/>
      <c r="K54" s="69"/>
      <c r="L54" s="719"/>
      <c r="M54" s="720"/>
      <c r="N54" s="720"/>
      <c r="O54" s="720"/>
      <c r="P54" s="720"/>
      <c r="Q54" s="729"/>
      <c r="R54" s="719"/>
      <c r="S54" s="720"/>
      <c r="T54" s="720"/>
      <c r="U54" s="720"/>
      <c r="V54" s="720"/>
      <c r="W54" s="729"/>
      <c r="X54" s="719"/>
      <c r="Y54" s="720"/>
      <c r="Z54" s="720"/>
      <c r="AA54" s="720"/>
      <c r="AB54" s="720"/>
      <c r="AC54" s="729"/>
      <c r="AD54" s="719"/>
      <c r="AE54" s="720"/>
      <c r="AF54" s="720"/>
      <c r="AG54" s="720"/>
      <c r="AH54" s="720"/>
      <c r="AI54" s="729"/>
      <c r="AJ54" s="719"/>
      <c r="AK54" s="720"/>
      <c r="AL54" s="720"/>
      <c r="AM54" s="720"/>
      <c r="AN54" s="720"/>
      <c r="AO54" s="72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row>
    <row r="55" spans="3:82" x14ac:dyDescent="0.25">
      <c r="C55" s="69"/>
      <c r="D55" s="69"/>
      <c r="E55" s="69"/>
      <c r="F55" s="69"/>
      <c r="G55" s="69"/>
      <c r="H55" s="69"/>
      <c r="I55" s="69"/>
      <c r="J55" s="69"/>
      <c r="K55" s="69"/>
      <c r="L55" s="719"/>
      <c r="M55" s="720"/>
      <c r="N55" s="720"/>
      <c r="O55" s="720"/>
      <c r="P55" s="720"/>
      <c r="Q55" s="729"/>
      <c r="R55" s="719"/>
      <c r="S55" s="720"/>
      <c r="T55" s="720"/>
      <c r="U55" s="720"/>
      <c r="V55" s="720"/>
      <c r="W55" s="729"/>
      <c r="X55" s="719"/>
      <c r="Y55" s="720"/>
      <c r="Z55" s="720"/>
      <c r="AA55" s="720"/>
      <c r="AB55" s="720"/>
      <c r="AC55" s="729"/>
      <c r="AD55" s="719"/>
      <c r="AE55" s="720"/>
      <c r="AF55" s="720"/>
      <c r="AG55" s="720"/>
      <c r="AH55" s="720"/>
      <c r="AI55" s="729"/>
      <c r="AJ55" s="719"/>
      <c r="AK55" s="720"/>
      <c r="AL55" s="720"/>
      <c r="AM55" s="720"/>
      <c r="AN55" s="720"/>
      <c r="AO55" s="72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row>
    <row r="56" spans="3:82" ht="15.75" thickBot="1" x14ac:dyDescent="0.3">
      <c r="C56" s="69"/>
      <c r="D56" s="69"/>
      <c r="E56" s="69"/>
      <c r="F56" s="69"/>
      <c r="G56" s="69"/>
      <c r="H56" s="69"/>
      <c r="I56" s="69"/>
      <c r="J56" s="69"/>
      <c r="K56" s="69"/>
      <c r="L56" s="721"/>
      <c r="M56" s="722"/>
      <c r="N56" s="722"/>
      <c r="O56" s="722"/>
      <c r="P56" s="722"/>
      <c r="Q56" s="730"/>
      <c r="R56" s="721"/>
      <c r="S56" s="722"/>
      <c r="T56" s="722"/>
      <c r="U56" s="722"/>
      <c r="V56" s="722"/>
      <c r="W56" s="730"/>
      <c r="X56" s="721"/>
      <c r="Y56" s="722"/>
      <c r="Z56" s="722"/>
      <c r="AA56" s="722"/>
      <c r="AB56" s="722"/>
      <c r="AC56" s="730"/>
      <c r="AD56" s="721"/>
      <c r="AE56" s="722"/>
      <c r="AF56" s="722"/>
      <c r="AG56" s="722"/>
      <c r="AH56" s="722"/>
      <c r="AI56" s="730"/>
      <c r="AJ56" s="721"/>
      <c r="AK56" s="722"/>
      <c r="AL56" s="722"/>
      <c r="AM56" s="722"/>
      <c r="AN56" s="722"/>
      <c r="AO56" s="730"/>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row>
    <row r="57" spans="3:82" x14ac:dyDescent="0.25">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row>
    <row r="58" spans="3:82" ht="15" customHeight="1" x14ac:dyDescent="0.25">
      <c r="C58" s="69"/>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row>
    <row r="59" spans="3:82" ht="15" customHeight="1" x14ac:dyDescent="0.25">
      <c r="C59" s="69"/>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row>
    <row r="60" spans="3:82" x14ac:dyDescent="0.25">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row>
    <row r="61" spans="3:82" x14ac:dyDescent="0.25">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row>
    <row r="62" spans="3:82" x14ac:dyDescent="0.25">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row>
    <row r="63" spans="3:82" x14ac:dyDescent="0.25">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row>
    <row r="64" spans="3:82" x14ac:dyDescent="0.25">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row>
    <row r="65" spans="3:82" x14ac:dyDescent="0.25">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row>
    <row r="66" spans="3:82" x14ac:dyDescent="0.25">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row>
    <row r="67" spans="3:82" x14ac:dyDescent="0.25">
      <c r="C67" s="69"/>
      <c r="D67" s="69"/>
      <c r="E67" s="69"/>
      <c r="F67" s="69"/>
      <c r="G67" s="69"/>
      <c r="H67" s="69" t="s">
        <v>304</v>
      </c>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row>
    <row r="68" spans="3:82" x14ac:dyDescent="0.25">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row>
    <row r="69" spans="3:82" x14ac:dyDescent="0.25">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row>
    <row r="70" spans="3:82" x14ac:dyDescent="0.25">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row>
    <row r="71" spans="3:82" x14ac:dyDescent="0.25">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row>
    <row r="72" spans="3:82" x14ac:dyDescent="0.25">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row>
    <row r="73" spans="3:82" x14ac:dyDescent="0.25">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row>
    <row r="74" spans="3:82" x14ac:dyDescent="0.25">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row>
    <row r="75" spans="3:82" x14ac:dyDescent="0.25">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row>
    <row r="76" spans="3:82" x14ac:dyDescent="0.25">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row>
    <row r="77" spans="3:82" x14ac:dyDescent="0.25">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row>
    <row r="78" spans="3:82" x14ac:dyDescent="0.25">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row>
    <row r="79" spans="3:82" x14ac:dyDescent="0.25">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row>
    <row r="80" spans="3:82" x14ac:dyDescent="0.25">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row>
    <row r="81" spans="3:82" x14ac:dyDescent="0.25">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row>
    <row r="82" spans="3:82" x14ac:dyDescent="0.25">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row>
    <row r="83" spans="3:82" x14ac:dyDescent="0.25">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row>
    <row r="84" spans="3:82" x14ac:dyDescent="0.25">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row>
    <row r="85" spans="3:82" x14ac:dyDescent="0.25">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row>
    <row r="86" spans="3:82" x14ac:dyDescent="0.25">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row>
    <row r="87" spans="3:82" x14ac:dyDescent="0.25">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row>
    <row r="88" spans="3:82" x14ac:dyDescent="0.25">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row>
    <row r="89" spans="3:82" x14ac:dyDescent="0.25">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row>
    <row r="90" spans="3:82" x14ac:dyDescent="0.25">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row>
    <row r="91" spans="3:82" x14ac:dyDescent="0.25">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row>
    <row r="92" spans="3:82" x14ac:dyDescent="0.25">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row>
    <row r="93" spans="3:82" x14ac:dyDescent="0.25">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row>
    <row r="94" spans="3:82" x14ac:dyDescent="0.25">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row>
    <row r="95" spans="3:82" x14ac:dyDescent="0.25">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row>
    <row r="96" spans="3:82" x14ac:dyDescent="0.25">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row>
    <row r="97" spans="3:65" x14ac:dyDescent="0.25">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row>
    <row r="98" spans="3:65" x14ac:dyDescent="0.25">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row>
    <row r="99" spans="3:65" x14ac:dyDescent="0.25">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row>
    <row r="100" spans="3:65" x14ac:dyDescent="0.25">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row>
    <row r="101" spans="3:65" x14ac:dyDescent="0.25">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row>
    <row r="102" spans="3:65" x14ac:dyDescent="0.25">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row>
    <row r="103" spans="3:65" x14ac:dyDescent="0.25">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row>
    <row r="104" spans="3:65" x14ac:dyDescent="0.25">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row>
    <row r="105" spans="3:65" x14ac:dyDescent="0.25">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row>
    <row r="106" spans="3:65" x14ac:dyDescent="0.25">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row>
    <row r="107" spans="3:65" x14ac:dyDescent="0.25">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row>
    <row r="108" spans="3:65" x14ac:dyDescent="0.25">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row>
    <row r="109" spans="3:65" x14ac:dyDescent="0.25">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row>
    <row r="110" spans="3:65" x14ac:dyDescent="0.25">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row>
    <row r="111" spans="3:65" x14ac:dyDescent="0.25">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row>
    <row r="112" spans="3:65" x14ac:dyDescent="0.25">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row>
    <row r="113" spans="3:65" x14ac:dyDescent="0.25">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row>
    <row r="114" spans="3:65" x14ac:dyDescent="0.25">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row>
    <row r="115" spans="3:65" x14ac:dyDescent="0.25">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row>
    <row r="116" spans="3:65" x14ac:dyDescent="0.25">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row>
    <row r="117" spans="3:65" x14ac:dyDescent="0.25">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row>
    <row r="118" spans="3:65" x14ac:dyDescent="0.25">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row>
    <row r="119" spans="3:65" x14ac:dyDescent="0.25">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row>
    <row r="120" spans="3:65" x14ac:dyDescent="0.25">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row>
    <row r="121" spans="3:65" x14ac:dyDescent="0.25">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row>
    <row r="122" spans="3:65" x14ac:dyDescent="0.25">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row>
    <row r="123" spans="3:65" x14ac:dyDescent="0.25">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row>
    <row r="124" spans="3:65" x14ac:dyDescent="0.25">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row>
    <row r="125" spans="3:65" x14ac:dyDescent="0.25">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row>
    <row r="126" spans="3:65" x14ac:dyDescent="0.25">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row>
    <row r="127" spans="3:65" x14ac:dyDescent="0.25">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row>
    <row r="128" spans="3:65" x14ac:dyDescent="0.25">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row>
    <row r="129" spans="4:65" x14ac:dyDescent="0.25">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row>
    <row r="130" spans="4:65" x14ac:dyDescent="0.25">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row>
    <row r="131" spans="4:65" x14ac:dyDescent="0.25">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row>
    <row r="132" spans="4:65" x14ac:dyDescent="0.25">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row>
    <row r="133" spans="4:65" x14ac:dyDescent="0.25">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row>
    <row r="134" spans="4:65" x14ac:dyDescent="0.25">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row>
    <row r="135" spans="4:65" x14ac:dyDescent="0.25">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row>
    <row r="136" spans="4:65" x14ac:dyDescent="0.25">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row>
    <row r="137" spans="4:65" x14ac:dyDescent="0.25">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row>
    <row r="138" spans="4:65" x14ac:dyDescent="0.25">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row>
    <row r="139" spans="4:65" x14ac:dyDescent="0.25">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row>
    <row r="140" spans="4:65" x14ac:dyDescent="0.25">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row>
    <row r="141" spans="4:65" x14ac:dyDescent="0.25">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row>
    <row r="142" spans="4:65" x14ac:dyDescent="0.25">
      <c r="D142" s="69"/>
      <c r="E142" s="69"/>
      <c r="F142" s="69"/>
      <c r="G142" s="69"/>
      <c r="H142" s="69"/>
      <c r="I142" s="69"/>
      <c r="J142" s="69"/>
      <c r="K142" s="69"/>
    </row>
    <row r="143" spans="4:65" x14ac:dyDescent="0.25">
      <c r="D143" s="69"/>
      <c r="E143" s="69"/>
      <c r="F143" s="69"/>
      <c r="G143" s="69"/>
      <c r="H143" s="69"/>
      <c r="I143" s="69"/>
      <c r="J143" s="69"/>
      <c r="K143" s="69"/>
    </row>
    <row r="144" spans="4:65" x14ac:dyDescent="0.25">
      <c r="D144" s="69"/>
      <c r="E144" s="69"/>
      <c r="F144" s="69"/>
      <c r="G144" s="69"/>
      <c r="H144" s="69"/>
      <c r="I144" s="69"/>
      <c r="J144" s="69"/>
      <c r="K144" s="69"/>
    </row>
    <row r="145" spans="4:11" x14ac:dyDescent="0.25">
      <c r="D145" s="69"/>
      <c r="E145" s="69"/>
      <c r="F145" s="69"/>
      <c r="G145" s="69"/>
      <c r="H145" s="69"/>
      <c r="I145" s="69"/>
      <c r="J145" s="69"/>
      <c r="K145" s="69"/>
    </row>
  </sheetData>
  <mergeCells count="324">
    <mergeCell ref="A8:C8"/>
    <mergeCell ref="D7:K9"/>
    <mergeCell ref="R47:S48"/>
    <mergeCell ref="T47:U48"/>
    <mergeCell ref="V47:W48"/>
    <mergeCell ref="R49:S50"/>
    <mergeCell ref="T49:U50"/>
    <mergeCell ref="V49:W50"/>
    <mergeCell ref="R43:S44"/>
    <mergeCell ref="T43:U44"/>
    <mergeCell ref="V43:W44"/>
    <mergeCell ref="R45:S46"/>
    <mergeCell ref="T45:U46"/>
    <mergeCell ref="V45:W46"/>
    <mergeCell ref="L47:M48"/>
    <mergeCell ref="N47:O48"/>
    <mergeCell ref="P47:Q48"/>
    <mergeCell ref="L49:M50"/>
    <mergeCell ref="N49:O50"/>
    <mergeCell ref="P49:Q50"/>
    <mergeCell ref="L43:M44"/>
    <mergeCell ref="N43:O44"/>
    <mergeCell ref="P43:Q44"/>
    <mergeCell ref="L45:M46"/>
    <mergeCell ref="N45:O46"/>
    <mergeCell ref="P45:Q46"/>
    <mergeCell ref="L39:M40"/>
    <mergeCell ref="N39:O40"/>
    <mergeCell ref="P39:Q40"/>
    <mergeCell ref="L41:M42"/>
    <mergeCell ref="N41:O42"/>
    <mergeCell ref="P41:Q42"/>
    <mergeCell ref="L35:M36"/>
    <mergeCell ref="N35:O36"/>
    <mergeCell ref="P35:Q36"/>
    <mergeCell ref="L37:M38"/>
    <mergeCell ref="N37:O38"/>
    <mergeCell ref="P37:Q38"/>
    <mergeCell ref="X47:Y48"/>
    <mergeCell ref="Z47:AA48"/>
    <mergeCell ref="AB47:AC48"/>
    <mergeCell ref="X49:Y50"/>
    <mergeCell ref="Z49:AA50"/>
    <mergeCell ref="AB49:AC50"/>
    <mergeCell ref="X43:Y44"/>
    <mergeCell ref="Z43:AA44"/>
    <mergeCell ref="AB43:AC44"/>
    <mergeCell ref="X45:Y46"/>
    <mergeCell ref="Z45:AA46"/>
    <mergeCell ref="AB45:AC46"/>
    <mergeCell ref="R39:S40"/>
    <mergeCell ref="T39:U40"/>
    <mergeCell ref="V39:W40"/>
    <mergeCell ref="R41:S42"/>
    <mergeCell ref="T41:U42"/>
    <mergeCell ref="V41:W42"/>
    <mergeCell ref="R35:S36"/>
    <mergeCell ref="T35:U36"/>
    <mergeCell ref="V35:W36"/>
    <mergeCell ref="R37:S38"/>
    <mergeCell ref="T37:U38"/>
    <mergeCell ref="V37:W38"/>
    <mergeCell ref="X39:Y40"/>
    <mergeCell ref="Z39:AA40"/>
    <mergeCell ref="AB39:AC40"/>
    <mergeCell ref="X41:Y42"/>
    <mergeCell ref="Z41:AA42"/>
    <mergeCell ref="AB41:AC42"/>
    <mergeCell ref="X35:Y36"/>
    <mergeCell ref="Z35:AA36"/>
    <mergeCell ref="AB35:AC36"/>
    <mergeCell ref="X37:Y38"/>
    <mergeCell ref="Z37:AA38"/>
    <mergeCell ref="AB37:AC38"/>
    <mergeCell ref="X31:Y32"/>
    <mergeCell ref="Z31:AA32"/>
    <mergeCell ref="AB31:AC32"/>
    <mergeCell ref="X33:Y34"/>
    <mergeCell ref="Z33:AA34"/>
    <mergeCell ref="AB33:AC34"/>
    <mergeCell ref="X27:Y28"/>
    <mergeCell ref="Z27:AA28"/>
    <mergeCell ref="AB27:AC28"/>
    <mergeCell ref="X29:Y30"/>
    <mergeCell ref="Z29:AA30"/>
    <mergeCell ref="AB29:AC30"/>
    <mergeCell ref="R31:S32"/>
    <mergeCell ref="T31:U32"/>
    <mergeCell ref="V31:W32"/>
    <mergeCell ref="R33:S34"/>
    <mergeCell ref="T33:U34"/>
    <mergeCell ref="V33:W34"/>
    <mergeCell ref="R27:S28"/>
    <mergeCell ref="T27:U28"/>
    <mergeCell ref="V27:W28"/>
    <mergeCell ref="R29:S30"/>
    <mergeCell ref="T29:U30"/>
    <mergeCell ref="V29:W30"/>
    <mergeCell ref="L31:M32"/>
    <mergeCell ref="N31:O32"/>
    <mergeCell ref="P31:Q32"/>
    <mergeCell ref="L33:M34"/>
    <mergeCell ref="N33:O34"/>
    <mergeCell ref="P33:Q34"/>
    <mergeCell ref="L27:M28"/>
    <mergeCell ref="N27:O28"/>
    <mergeCell ref="P27:Q28"/>
    <mergeCell ref="L29:M30"/>
    <mergeCell ref="N29:O30"/>
    <mergeCell ref="P29:Q30"/>
    <mergeCell ref="R23:S24"/>
    <mergeCell ref="T23:U24"/>
    <mergeCell ref="V23:W24"/>
    <mergeCell ref="R25:S26"/>
    <mergeCell ref="T25:U26"/>
    <mergeCell ref="V25:W26"/>
    <mergeCell ref="R19:S20"/>
    <mergeCell ref="T19:U20"/>
    <mergeCell ref="V19:W20"/>
    <mergeCell ref="R21:S22"/>
    <mergeCell ref="T21:U22"/>
    <mergeCell ref="V21:W22"/>
    <mergeCell ref="P23:Q24"/>
    <mergeCell ref="L25:M26"/>
    <mergeCell ref="N25:O26"/>
    <mergeCell ref="P25:Q26"/>
    <mergeCell ref="L19:M20"/>
    <mergeCell ref="N19:O20"/>
    <mergeCell ref="P19:Q20"/>
    <mergeCell ref="L21:M22"/>
    <mergeCell ref="N21:O22"/>
    <mergeCell ref="P21:Q22"/>
    <mergeCell ref="AJ47:AK48"/>
    <mergeCell ref="AL47:AM48"/>
    <mergeCell ref="AN47:AO48"/>
    <mergeCell ref="AJ49:AK50"/>
    <mergeCell ref="AL49:AM50"/>
    <mergeCell ref="AN49:AO50"/>
    <mergeCell ref="AJ43:AK44"/>
    <mergeCell ref="AL43:AM44"/>
    <mergeCell ref="AN43:AO44"/>
    <mergeCell ref="AJ45:AK46"/>
    <mergeCell ref="AL45:AM46"/>
    <mergeCell ref="AN45:AO46"/>
    <mergeCell ref="AJ39:AK40"/>
    <mergeCell ref="AL39:AM40"/>
    <mergeCell ref="AN39:AO40"/>
    <mergeCell ref="AJ41:AK42"/>
    <mergeCell ref="AL41:AM42"/>
    <mergeCell ref="AN41:AO42"/>
    <mergeCell ref="AJ35:AK36"/>
    <mergeCell ref="AL35:AM36"/>
    <mergeCell ref="AN35:AO36"/>
    <mergeCell ref="AJ37:AK38"/>
    <mergeCell ref="AL37:AM38"/>
    <mergeCell ref="AN37:AO38"/>
    <mergeCell ref="AJ31:AK32"/>
    <mergeCell ref="AL31:AM32"/>
    <mergeCell ref="AN31:AO32"/>
    <mergeCell ref="AJ33:AK34"/>
    <mergeCell ref="AL33:AM34"/>
    <mergeCell ref="AN33:AO34"/>
    <mergeCell ref="AJ27:AK28"/>
    <mergeCell ref="AL27:AM28"/>
    <mergeCell ref="AN27:AO28"/>
    <mergeCell ref="AJ29:AK30"/>
    <mergeCell ref="AL29:AM30"/>
    <mergeCell ref="AN29:AO30"/>
    <mergeCell ref="AJ23:AK24"/>
    <mergeCell ref="AL23:AM24"/>
    <mergeCell ref="AN23:AO24"/>
    <mergeCell ref="AJ25:AK26"/>
    <mergeCell ref="AL25:AM26"/>
    <mergeCell ref="AN25:AO26"/>
    <mergeCell ref="AJ19:AK20"/>
    <mergeCell ref="AL19:AM20"/>
    <mergeCell ref="AN19:AO20"/>
    <mergeCell ref="AJ21:AK22"/>
    <mergeCell ref="AL21:AM22"/>
    <mergeCell ref="AN21:AO22"/>
    <mergeCell ref="AJ15:AK16"/>
    <mergeCell ref="AL15:AM16"/>
    <mergeCell ref="AN15:AO16"/>
    <mergeCell ref="AJ17:AK18"/>
    <mergeCell ref="AL17:AM18"/>
    <mergeCell ref="AN17:AO18"/>
    <mergeCell ref="AJ11:AK12"/>
    <mergeCell ref="AL11:AM12"/>
    <mergeCell ref="AN11:AO12"/>
    <mergeCell ref="AJ13:AK14"/>
    <mergeCell ref="AL13:AM14"/>
    <mergeCell ref="AN13:AO14"/>
    <mergeCell ref="AD47:AE48"/>
    <mergeCell ref="AF47:AG48"/>
    <mergeCell ref="AH47:AI48"/>
    <mergeCell ref="AD49:AE50"/>
    <mergeCell ref="AF49:AG50"/>
    <mergeCell ref="AH49:AI50"/>
    <mergeCell ref="AD43:AE44"/>
    <mergeCell ref="AF43:AG44"/>
    <mergeCell ref="AH43:AI44"/>
    <mergeCell ref="AD45:AE46"/>
    <mergeCell ref="AF45:AG46"/>
    <mergeCell ref="AH45:AI46"/>
    <mergeCell ref="AD39:AE40"/>
    <mergeCell ref="AF39:AG40"/>
    <mergeCell ref="AH39:AI40"/>
    <mergeCell ref="AD41:AE42"/>
    <mergeCell ref="AF41:AG42"/>
    <mergeCell ref="AH41:AI42"/>
    <mergeCell ref="AD35:AE36"/>
    <mergeCell ref="AF35:AG36"/>
    <mergeCell ref="AH35:AI36"/>
    <mergeCell ref="AD37:AE38"/>
    <mergeCell ref="AF37:AG38"/>
    <mergeCell ref="AH37:AI38"/>
    <mergeCell ref="AD31:AE32"/>
    <mergeCell ref="AF31:AG32"/>
    <mergeCell ref="AH31:AI32"/>
    <mergeCell ref="AD33:AE34"/>
    <mergeCell ref="AF33:AG34"/>
    <mergeCell ref="AH33:AI34"/>
    <mergeCell ref="AD27:AE28"/>
    <mergeCell ref="AF27:AG28"/>
    <mergeCell ref="AH27:AI28"/>
    <mergeCell ref="AD29:AE30"/>
    <mergeCell ref="AF29:AG30"/>
    <mergeCell ref="AH29:AI30"/>
    <mergeCell ref="AD19:AE20"/>
    <mergeCell ref="AF19:AG20"/>
    <mergeCell ref="AH19:AI20"/>
    <mergeCell ref="AD21:AE22"/>
    <mergeCell ref="AF21:AG22"/>
    <mergeCell ref="AH21:AI22"/>
    <mergeCell ref="X25:Y26"/>
    <mergeCell ref="Z25:AA26"/>
    <mergeCell ref="AB25:AC26"/>
    <mergeCell ref="X19:Y20"/>
    <mergeCell ref="Z19:AA20"/>
    <mergeCell ref="AB19:AC20"/>
    <mergeCell ref="X21:Y22"/>
    <mergeCell ref="Z21:AA22"/>
    <mergeCell ref="AB21:AC22"/>
    <mergeCell ref="AD23:AE24"/>
    <mergeCell ref="AF23:AG24"/>
    <mergeCell ref="X23:Y24"/>
    <mergeCell ref="Z23:AA24"/>
    <mergeCell ref="AB23:AC24"/>
    <mergeCell ref="AH23:AI24"/>
    <mergeCell ref="AD25:AE26"/>
    <mergeCell ref="AF25:AG26"/>
    <mergeCell ref="AH25:AI26"/>
    <mergeCell ref="AD51:AI56"/>
    <mergeCell ref="AJ51:AO56"/>
    <mergeCell ref="R11:S12"/>
    <mergeCell ref="R17:S18"/>
    <mergeCell ref="N11:O12"/>
    <mergeCell ref="P11:Q12"/>
    <mergeCell ref="P13:Q14"/>
    <mergeCell ref="N13:O14"/>
    <mergeCell ref="L13:M14"/>
    <mergeCell ref="L15:M16"/>
    <mergeCell ref="R13:S14"/>
    <mergeCell ref="T13:U14"/>
    <mergeCell ref="V13:W14"/>
    <mergeCell ref="R15:S16"/>
    <mergeCell ref="T15:U16"/>
    <mergeCell ref="V15:W16"/>
    <mergeCell ref="L17:M18"/>
    <mergeCell ref="N15:O16"/>
    <mergeCell ref="N17:O18"/>
    <mergeCell ref="AH11:AI12"/>
    <mergeCell ref="AD13:AE14"/>
    <mergeCell ref="AF13:AG14"/>
    <mergeCell ref="AH13:AI14"/>
    <mergeCell ref="AD15:AE16"/>
    <mergeCell ref="L51:Q56"/>
    <mergeCell ref="R51:W56"/>
    <mergeCell ref="X51:AC56"/>
    <mergeCell ref="P15:Q16"/>
    <mergeCell ref="P17:Q18"/>
    <mergeCell ref="T17:U18"/>
    <mergeCell ref="V17:W18"/>
    <mergeCell ref="X11:Y12"/>
    <mergeCell ref="Z11:AA12"/>
    <mergeCell ref="AB11:AC12"/>
    <mergeCell ref="X13:Y14"/>
    <mergeCell ref="Z13:AA14"/>
    <mergeCell ref="AB13:AC14"/>
    <mergeCell ref="X15:Y16"/>
    <mergeCell ref="Z15:AA16"/>
    <mergeCell ref="T11:U12"/>
    <mergeCell ref="V11:W12"/>
    <mergeCell ref="L11:M12"/>
    <mergeCell ref="AB15:AC16"/>
    <mergeCell ref="X17:Y18"/>
    <mergeCell ref="Z17:AA18"/>
    <mergeCell ref="AB17:AC18"/>
    <mergeCell ref="L23:M24"/>
    <mergeCell ref="N23:O24"/>
    <mergeCell ref="AP2:AV2"/>
    <mergeCell ref="AP3:AV3"/>
    <mergeCell ref="AP4:AV4"/>
    <mergeCell ref="AP5:AV5"/>
    <mergeCell ref="L2:AO5"/>
    <mergeCell ref="D2:K5"/>
    <mergeCell ref="D11:F50"/>
    <mergeCell ref="AQ11:AV18"/>
    <mergeCell ref="AQ19:AV26"/>
    <mergeCell ref="AQ27:AV34"/>
    <mergeCell ref="AQ35:AV42"/>
    <mergeCell ref="G27:K34"/>
    <mergeCell ref="G43:K50"/>
    <mergeCell ref="L7:AO9"/>
    <mergeCell ref="G11:K18"/>
    <mergeCell ref="G19:K26"/>
    <mergeCell ref="G35:K42"/>
    <mergeCell ref="AF15:AG16"/>
    <mergeCell ref="AH15:AI16"/>
    <mergeCell ref="AD11:AE12"/>
    <mergeCell ref="AF11:AG12"/>
    <mergeCell ref="AD17:AE18"/>
    <mergeCell ref="AF17:AG18"/>
    <mergeCell ref="AH17:AI1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CN254"/>
  <sheetViews>
    <sheetView showGridLines="0" zoomScale="60" zoomScaleNormal="60" workbookViewId="0">
      <pane ySplit="7" topLeftCell="A8" activePane="bottomLeft" state="frozen"/>
      <selection pane="bottomLeft"/>
    </sheetView>
  </sheetViews>
  <sheetFormatPr baseColWidth="10" defaultRowHeight="15" x14ac:dyDescent="0.25"/>
  <cols>
    <col min="3" max="10" width="5.7109375" customWidth="1"/>
    <col min="11" max="11" width="8.7109375" customWidth="1"/>
    <col min="12" max="12" width="9.5703125" customWidth="1"/>
    <col min="13" max="16" width="5.7109375" customWidth="1"/>
    <col min="17" max="17" width="9.28515625" customWidth="1"/>
    <col min="18" max="19" width="5.7109375" customWidth="1"/>
    <col min="20" max="20" width="6.7109375" customWidth="1"/>
    <col min="21" max="22" width="5.7109375" customWidth="1"/>
    <col min="23" max="23" width="11.85546875" customWidth="1"/>
    <col min="24" max="24" width="5.7109375" customWidth="1"/>
    <col min="25" max="25" width="10.140625" customWidth="1"/>
    <col min="26" max="26" width="9.140625" customWidth="1"/>
    <col min="27" max="27" width="5.28515625" customWidth="1"/>
    <col min="28" max="28" width="10.7109375" customWidth="1"/>
    <col min="29" max="29" width="10.28515625" customWidth="1"/>
    <col min="30" max="30" width="7.42578125" customWidth="1"/>
    <col min="31" max="34" width="5.7109375" customWidth="1"/>
    <col min="35" max="35" width="8.42578125" customWidth="1"/>
    <col min="36" max="40" width="5.7109375" customWidth="1"/>
    <col min="42" max="47" width="5.7109375" customWidth="1"/>
  </cols>
  <sheetData>
    <row r="1" spans="1:92" ht="15.75" thickBot="1" x14ac:dyDescent="0.3"/>
    <row r="2" spans="1:92" x14ac:dyDescent="0.25">
      <c r="C2" s="670" t="s">
        <v>249</v>
      </c>
      <c r="D2" s="671"/>
      <c r="E2" s="671"/>
      <c r="F2" s="671"/>
      <c r="G2" s="671"/>
      <c r="H2" s="671"/>
      <c r="I2" s="671"/>
      <c r="J2" s="672"/>
      <c r="K2" s="661" t="s">
        <v>203</v>
      </c>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663"/>
      <c r="AO2" s="445" t="s">
        <v>323</v>
      </c>
      <c r="AP2" s="658"/>
      <c r="AQ2" s="658"/>
      <c r="AR2" s="658"/>
      <c r="AS2" s="658"/>
      <c r="AT2" s="658"/>
      <c r="AU2" s="418"/>
    </row>
    <row r="3" spans="1:92" x14ac:dyDescent="0.25">
      <c r="C3" s="673"/>
      <c r="D3" s="674"/>
      <c r="E3" s="674"/>
      <c r="F3" s="674"/>
      <c r="G3" s="674"/>
      <c r="H3" s="674"/>
      <c r="I3" s="674"/>
      <c r="J3" s="675"/>
      <c r="K3" s="664"/>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6"/>
      <c r="AO3" s="446" t="s">
        <v>262</v>
      </c>
      <c r="AP3" s="659"/>
      <c r="AQ3" s="659"/>
      <c r="AR3" s="659"/>
      <c r="AS3" s="659"/>
      <c r="AT3" s="659"/>
      <c r="AU3" s="420"/>
    </row>
    <row r="4" spans="1:92" x14ac:dyDescent="0.25">
      <c r="C4" s="673"/>
      <c r="D4" s="674"/>
      <c r="E4" s="674"/>
      <c r="F4" s="674"/>
      <c r="G4" s="674"/>
      <c r="H4" s="674"/>
      <c r="I4" s="674"/>
      <c r="J4" s="675"/>
      <c r="K4" s="664"/>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6"/>
      <c r="AO4" s="446" t="s">
        <v>333</v>
      </c>
      <c r="AP4" s="659" t="s">
        <v>261</v>
      </c>
      <c r="AQ4" s="659"/>
      <c r="AR4" s="659"/>
      <c r="AS4" s="659"/>
      <c r="AT4" s="659"/>
      <c r="AU4" s="420"/>
    </row>
    <row r="5" spans="1:92" ht="15.75" thickBot="1" x14ac:dyDescent="0.3">
      <c r="C5" s="676"/>
      <c r="D5" s="677"/>
      <c r="E5" s="677"/>
      <c r="F5" s="677"/>
      <c r="G5" s="677"/>
      <c r="H5" s="677"/>
      <c r="I5" s="677"/>
      <c r="J5" s="678"/>
      <c r="K5" s="667"/>
      <c r="L5" s="668"/>
      <c r="M5" s="668"/>
      <c r="N5" s="668"/>
      <c r="O5" s="668"/>
      <c r="P5" s="668"/>
      <c r="Q5" s="668"/>
      <c r="R5" s="668"/>
      <c r="S5" s="668"/>
      <c r="T5" s="668"/>
      <c r="U5" s="668"/>
      <c r="V5" s="668"/>
      <c r="W5" s="668"/>
      <c r="X5" s="668"/>
      <c r="Y5" s="668"/>
      <c r="Z5" s="668"/>
      <c r="AA5" s="668"/>
      <c r="AB5" s="668"/>
      <c r="AC5" s="668"/>
      <c r="AD5" s="668"/>
      <c r="AE5" s="668"/>
      <c r="AF5" s="668"/>
      <c r="AG5" s="668"/>
      <c r="AH5" s="668"/>
      <c r="AI5" s="668"/>
      <c r="AJ5" s="668"/>
      <c r="AK5" s="668"/>
      <c r="AL5" s="668"/>
      <c r="AM5" s="668"/>
      <c r="AN5" s="669"/>
      <c r="AO5" s="447" t="s">
        <v>243</v>
      </c>
      <c r="AP5" s="660" t="s">
        <v>243</v>
      </c>
      <c r="AQ5" s="660"/>
      <c r="AR5" s="660"/>
      <c r="AS5" s="660"/>
      <c r="AT5" s="660"/>
      <c r="AU5" s="422"/>
    </row>
    <row r="7" spans="1:92" x14ac:dyDescent="0.25">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row>
    <row r="8" spans="1:92" ht="18" customHeight="1" x14ac:dyDescent="0.25">
      <c r="A8" s="824" t="s">
        <v>264</v>
      </c>
      <c r="B8" s="824"/>
      <c r="C8" s="803" t="s">
        <v>155</v>
      </c>
      <c r="D8" s="804"/>
      <c r="E8" s="804"/>
      <c r="F8" s="804"/>
      <c r="G8" s="804"/>
      <c r="H8" s="804"/>
      <c r="I8" s="804"/>
      <c r="J8" s="804"/>
      <c r="K8" s="805" t="s">
        <v>2</v>
      </c>
      <c r="L8" s="805"/>
      <c r="M8" s="805"/>
      <c r="N8" s="805"/>
      <c r="O8" s="805"/>
      <c r="P8" s="805"/>
      <c r="Q8" s="805"/>
      <c r="R8" s="805"/>
      <c r="S8" s="805"/>
      <c r="T8" s="805"/>
      <c r="U8" s="805"/>
      <c r="V8" s="805"/>
      <c r="W8" s="805"/>
      <c r="X8" s="805"/>
      <c r="Y8" s="805"/>
      <c r="Z8" s="805"/>
      <c r="AA8" s="805"/>
      <c r="AB8" s="805"/>
      <c r="AC8" s="805"/>
      <c r="AD8" s="805"/>
      <c r="AE8" s="805"/>
      <c r="AF8" s="805"/>
      <c r="AG8" s="805"/>
      <c r="AH8" s="805"/>
      <c r="AI8" s="805"/>
      <c r="AJ8" s="805"/>
      <c r="AK8" s="805"/>
      <c r="AL8" s="805"/>
      <c r="AM8" s="805"/>
      <c r="AN8" s="805"/>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row>
    <row r="9" spans="1:92" ht="18.75" customHeight="1" x14ac:dyDescent="0.25">
      <c r="B9" s="69"/>
      <c r="C9" s="804"/>
      <c r="D9" s="804"/>
      <c r="E9" s="804"/>
      <c r="F9" s="804"/>
      <c r="G9" s="804"/>
      <c r="H9" s="804"/>
      <c r="I9" s="804"/>
      <c r="J9" s="804"/>
      <c r="K9" s="805"/>
      <c r="L9" s="805"/>
      <c r="M9" s="805"/>
      <c r="N9" s="805"/>
      <c r="O9" s="805"/>
      <c r="P9" s="805"/>
      <c r="Q9" s="805"/>
      <c r="R9" s="805"/>
      <c r="S9" s="805"/>
      <c r="T9" s="805"/>
      <c r="U9" s="805"/>
      <c r="V9" s="805"/>
      <c r="W9" s="805"/>
      <c r="X9" s="805"/>
      <c r="Y9" s="805"/>
      <c r="Z9" s="805"/>
      <c r="AA9" s="805"/>
      <c r="AB9" s="805"/>
      <c r="AC9" s="805"/>
      <c r="AD9" s="805"/>
      <c r="AE9" s="805"/>
      <c r="AF9" s="805"/>
      <c r="AG9" s="805"/>
      <c r="AH9" s="805"/>
      <c r="AI9" s="805"/>
      <c r="AJ9" s="805"/>
      <c r="AK9" s="805"/>
      <c r="AL9" s="805"/>
      <c r="AM9" s="805"/>
      <c r="AN9" s="805"/>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row>
    <row r="10" spans="1:92" ht="15" customHeight="1" x14ac:dyDescent="0.25">
      <c r="B10" s="69"/>
      <c r="C10" s="804"/>
      <c r="D10" s="804"/>
      <c r="E10" s="804"/>
      <c r="F10" s="804"/>
      <c r="G10" s="804"/>
      <c r="H10" s="804"/>
      <c r="I10" s="804"/>
      <c r="J10" s="804"/>
      <c r="K10" s="805"/>
      <c r="L10" s="805"/>
      <c r="M10" s="805"/>
      <c r="N10" s="805"/>
      <c r="O10" s="805"/>
      <c r="P10" s="805"/>
      <c r="Q10" s="805"/>
      <c r="R10" s="805"/>
      <c r="S10" s="805"/>
      <c r="T10" s="805"/>
      <c r="U10" s="805"/>
      <c r="V10" s="805"/>
      <c r="W10" s="805"/>
      <c r="X10" s="805"/>
      <c r="Y10" s="805"/>
      <c r="Z10" s="805"/>
      <c r="AA10" s="805"/>
      <c r="AB10" s="805"/>
      <c r="AC10" s="805"/>
      <c r="AD10" s="805"/>
      <c r="AE10" s="805"/>
      <c r="AF10" s="805"/>
      <c r="AG10" s="805"/>
      <c r="AH10" s="805"/>
      <c r="AI10" s="805"/>
      <c r="AJ10" s="805"/>
      <c r="AK10" s="805"/>
      <c r="AL10" s="805"/>
      <c r="AM10" s="805"/>
      <c r="AN10" s="805"/>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row>
    <row r="11" spans="1:92" ht="15.75" thickBot="1" x14ac:dyDescent="0.3">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row>
    <row r="12" spans="1:92" ht="15" customHeight="1" x14ac:dyDescent="0.25">
      <c r="B12" s="69"/>
      <c r="C12" s="679" t="s">
        <v>4</v>
      </c>
      <c r="D12" s="679"/>
      <c r="E12" s="680"/>
      <c r="F12" s="775" t="s">
        <v>114</v>
      </c>
      <c r="G12" s="776"/>
      <c r="H12" s="776"/>
      <c r="I12" s="776"/>
      <c r="J12" s="776"/>
      <c r="K12" s="32" t="str">
        <f>IF(AND('Mapa final GC'!$AJ$15="Muy Alta",'Mapa final GC'!$AL$15="Leve"),CONCATENATE("R2C",'Mapa final GC'!$S$15),"")</f>
        <v/>
      </c>
      <c r="L12" s="33" t="str">
        <f>IF(AND('Mapa final GC'!$AJ$16="Muy Alta",'Mapa final GC'!$AL$16="Leve"),CONCATENATE("R2C",'Mapa final GC'!$S$16),"")</f>
        <v/>
      </c>
      <c r="M12" s="33" t="str">
        <f>IF(AND('Mapa final GC'!$AJ$17="Muy Alta",'Mapa final GC'!$AL$17="Leve"),CONCATENATE("R2C",'Mapa final GC'!$S$17),"")</f>
        <v/>
      </c>
      <c r="N12" s="33" t="str">
        <f>IF(AND('Mapa final GC'!$AJ$19="Muy Alta",'Mapa final GC'!$AL$19="Leve"),CONCATENATE("R2C",'Mapa final GC'!$S$19),"")</f>
        <v/>
      </c>
      <c r="O12" s="33" t="str">
        <f>IF(AND('Mapa final GC'!$AJ$20="Muy Alta",'Mapa final GC'!$AL$20="Leve"),CONCATENATE("R2C",'Mapa final GC'!$S$20),"")</f>
        <v/>
      </c>
      <c r="P12" s="34" t="e">
        <f>IF(AND('Mapa final GC'!#REF!="Muy Alta",'Mapa final GC'!#REF!="Leve"),CONCATENATE("R2C",'Mapa final GC'!#REF!),"")</f>
        <v>#REF!</v>
      </c>
      <c r="Q12" s="33" t="str">
        <f>IF(AND('Mapa final GC'!$AJ$15="Muy Alta",'Mapa final GC'!$AL$15="Menor"),CONCATENATE("R2C",'Mapa final GC'!$S$15),"")</f>
        <v/>
      </c>
      <c r="R12" s="33" t="str">
        <f>IF(AND('Mapa final GC'!$AJ$16="Muy Alta",'Mapa final GC'!$AL$16="Menore"),CONCATENATE("R2C",'Mapa final GC'!$S$16),"")</f>
        <v/>
      </c>
      <c r="S12" s="33" t="str">
        <f>IF(AND('Mapa final GC'!$AJ$17="Muy Alta",'Mapa final GC'!$AL$17="Menor"),CONCATENATE("R2C",'Mapa final GC'!$S$17),"")</f>
        <v/>
      </c>
      <c r="T12" s="33" t="str">
        <f>IF(AND('Mapa final GC'!$AJ$19="Muy Alta",'Mapa final GC'!$AL$19="Menor"),CONCATENATE("R2C",'Mapa final GC'!$S$19),"")</f>
        <v/>
      </c>
      <c r="U12" s="33" t="str">
        <f>IF(AND('Mapa final GC'!$AJ$20="Muy Alta",'Mapa final GC'!$AL$20="Menor"),CONCATENATE("R2C",'Mapa final GC'!$S$20),"")</f>
        <v/>
      </c>
      <c r="V12" s="34" t="e">
        <f>IF(AND('Mapa final GC'!#REF!="Muy Alta",'Mapa final GC'!#REF!="Menor"),CONCATENATE("R2C",'Mapa final GC'!#REF!),"")</f>
        <v>#REF!</v>
      </c>
      <c r="W12" s="32" t="str">
        <f>IF(AND('Mapa final GC'!$AJ$15="Muy Alta",'Mapa final GC'!$AL$15="Moderado"),CONCATENATE("R2C",'Mapa final GC'!$S$15),"")</f>
        <v/>
      </c>
      <c r="X12" s="33" t="str">
        <f>IF(AND('Mapa final GC'!$AJ$16="Muy Alta",'Mapa final GC'!$AL$16="Moderado"),CONCATENATE("R2C",'Mapa final GC'!$S$16),"")</f>
        <v/>
      </c>
      <c r="Y12" s="33"/>
      <c r="Z12" s="33" t="str">
        <f>IF(AND('Mapa final GC'!$AJ$19="Muy Alta",'Mapa final GC'!$AL$19="Moderado"),CONCATENATE("R2C",'Mapa final GC'!$S$19),"")</f>
        <v/>
      </c>
      <c r="AA12" s="33" t="str">
        <f>IF(AND('Mapa final GC'!$AJ$20="Muy Alta",'Mapa final GC'!$AL$20="Moderado"),CONCATENATE("R2C",'Mapa final GC'!$S$20),"")</f>
        <v/>
      </c>
      <c r="AB12" s="34" t="e">
        <f>IF(AND('Mapa final GC'!#REF!="Muy Alta",'Mapa final GC'!#REF!="Moderado"),CONCATENATE("R2C",'Mapa final GC'!#REF!),"")</f>
        <v>#REF!</v>
      </c>
      <c r="AC12" s="32" t="str">
        <f>IF(AND('Mapa final GC'!$AJ$15="Muy Alta",'Mapa final GC'!$AL$15="Mayor"),CONCATENATE("R2C",'Mapa final GC'!$S$15),"")</f>
        <v/>
      </c>
      <c r="AD12" s="33" t="str">
        <f>IF(AND('Mapa final GC'!$AJ$16="Muy Alta",'Mapa final GC'!$AL$16="Mayor"),CONCATENATE("R2C",'Mapa final GC'!$S$16),"")</f>
        <v/>
      </c>
      <c r="AE12" s="33" t="str">
        <f>IF(AND('Mapa final GC'!$AJ$17="Muy Alta",'Mapa final GC'!$AL$17="Mayor"),CONCATENATE("R2C",'Mapa final GC'!$S$17),"")</f>
        <v/>
      </c>
      <c r="AF12" s="33" t="str">
        <f>IF(AND('Mapa final GC'!$AJ$19="Muy Alta",'Mapa final GC'!$AL$19="Mayor"),CONCATENATE("R2C",'Mapa final GC'!$S$19),"")</f>
        <v/>
      </c>
      <c r="AG12" s="33" t="str">
        <f>IF(AND('Mapa final GC'!$AJ$20="Muy Alta",'Mapa final GC'!$AL$20="Mayor"),CONCATENATE("R2C",'Mapa final GC'!$S$20),"")</f>
        <v/>
      </c>
      <c r="AH12" s="34" t="e">
        <f>IF(AND('Mapa final GC'!#REF!="Muy Alta",'Mapa final GC'!#REF!="Mayor"),CONCATENATE("R2C",'Mapa final GC'!#REF!),"")</f>
        <v>#REF!</v>
      </c>
      <c r="AI12" s="35" t="str">
        <f>IF(AND('Mapa final GC'!$AJ$15="Muy Alta",'Mapa final GC'!$AL$15="Catastrófico"),CONCATENATE("R2C",'Mapa final GC'!$S$15),"")</f>
        <v/>
      </c>
      <c r="AJ12" s="36" t="str">
        <f>IF(AND('Mapa final GC'!$AJ$16="Muy Alta",'Mapa final GC'!$AL$16="Catastrófico"),CONCATENATE("R2C",'Mapa final GC'!$S$16),"")</f>
        <v/>
      </c>
      <c r="AK12" s="36" t="str">
        <f>IF(AND('Mapa final GC'!$AJ$17="Muy Alta",'Mapa final GC'!$AL$17="Catastrófico"),CONCATENATE("R2C",'Mapa final GC'!$S$17),"")</f>
        <v/>
      </c>
      <c r="AL12" s="36" t="str">
        <f>IF(AND('Mapa final GC'!$AJ$19="Muy Alta",'Mapa final GC'!$AL$19="Catastrófico"),CONCATENATE("R2C",'Mapa final GC'!$S$19),"")</f>
        <v/>
      </c>
      <c r="AM12" s="36" t="str">
        <f>IF(AND('Mapa final GC'!$AJ$20="Muy Alta",'Mapa final GC'!$AL$20="Catastrófico"),CONCATENATE("R2C",'Mapa final GC'!$S$20),"")</f>
        <v/>
      </c>
      <c r="AN12" s="37" t="e">
        <f>IF(AND('Mapa final GC'!#REF!="Muy Alta",'Mapa final GC'!#REF!="Catastrófico"),CONCATENATE("R2C",'Mapa final GC'!#REF!),"")</f>
        <v>#REF!</v>
      </c>
      <c r="AO12" s="69"/>
      <c r="AP12" s="794" t="s">
        <v>77</v>
      </c>
      <c r="AQ12" s="795"/>
      <c r="AR12" s="795"/>
      <c r="AS12" s="795"/>
      <c r="AT12" s="795"/>
      <c r="AU12" s="796"/>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row>
    <row r="13" spans="1:92" ht="15" customHeight="1" x14ac:dyDescent="0.25">
      <c r="B13" s="69"/>
      <c r="C13" s="679"/>
      <c r="D13" s="679"/>
      <c r="E13" s="680"/>
      <c r="F13" s="778"/>
      <c r="G13" s="779"/>
      <c r="H13" s="779"/>
      <c r="I13" s="779"/>
      <c r="J13" s="779"/>
      <c r="K13" s="38" t="str">
        <f>IF(AND('Mapa final GC'!$AJ$21="Muy Alta",'Mapa final GC'!$AL$21="Leve"),CONCATENATE("R2C",'Mapa final GC'!$S$21),"")</f>
        <v/>
      </c>
      <c r="L13" s="39" t="str">
        <f>IF(AND('Mapa final GC'!$AJ$22="Muy Alta",'Mapa final GC'!$AL$22="Leve"),CONCATENATE("R2C",'Mapa final GC'!$S$22),"")</f>
        <v/>
      </c>
      <c r="M13" s="39" t="str">
        <f>IF(AND('Mapa final GC'!$AJ$23="Muy Alta",'Mapa final GC'!$AL$23="Leve"),CONCATENATE("R2C",'Mapa final GC'!$S$23),"")</f>
        <v/>
      </c>
      <c r="N13" s="39" t="str">
        <f>IF(AND('Mapa final GC'!$AJ$24="Muy Alta",'Mapa final GC'!$AL$24="Leve"),CONCATENATE("R2C",'Mapa final GC'!$S$24),"")</f>
        <v/>
      </c>
      <c r="O13" s="39" t="str">
        <f>IF(AND('Mapa final GC'!$AJ$25="Muy Alta",'Mapa final GC'!$AL$25="Leve"),CONCATENATE("R2C",'Mapa final GC'!$S$25),"")</f>
        <v/>
      </c>
      <c r="P13" s="40" t="str">
        <f>IF(AND('Mapa final GC'!$AJ$26="Muy Alta",'Mapa final GC'!$AL$26="Leve"),CONCATENATE("R2C",'Mapa final GC'!$S$26),"")</f>
        <v/>
      </c>
      <c r="Q13" s="39" t="str">
        <f>IF(AND('Mapa final GC'!$AJ$21="Muy Alta",'Mapa final GC'!$AL$21="Menor"),CONCATENATE("R2C",'Mapa final GC'!$S$21),"")</f>
        <v/>
      </c>
      <c r="R13" s="39" t="str">
        <f>IF(AND('Mapa final GC'!$AJ$22="Muy Alta",'Mapa final GC'!$AL$22="Menor"),CONCATENATE("R2C",'Mapa final GC'!$S$22),"")</f>
        <v/>
      </c>
      <c r="S13" s="39" t="str">
        <f>IF(AND('Mapa final GC'!$AJ$23="Muy Alta",'Mapa final GC'!$AL$23="Menor"),CONCATENATE("R2C",'Mapa final GC'!$S$23),"")</f>
        <v/>
      </c>
      <c r="T13" s="39" t="str">
        <f>IF(AND('Mapa final GC'!$AJ$24="Muy Alta",'Mapa final GC'!$AL$24="Menor"),CONCATENATE("R2C",'Mapa final GC'!$S$24),"")</f>
        <v/>
      </c>
      <c r="U13" s="39" t="str">
        <f>IF(AND('Mapa final GC'!$AJ$25="Muy Alta",'Mapa final GC'!$AL$25="Menor"),CONCATENATE("R2C",'Mapa final GC'!$S$25),"")</f>
        <v/>
      </c>
      <c r="V13" s="40" t="str">
        <f>IF(AND('Mapa final GC'!$AJ$26="Muy Alta",'Mapa final GC'!$AL$26="Menor"),CONCATENATE("R2C",'Mapa final GC'!$S$26),"")</f>
        <v/>
      </c>
      <c r="W13" s="38" t="str">
        <f>IF(AND('Mapa final GC'!$AJ$21="Muy Alta",'Mapa final GC'!$AL$21="Moderado"),CONCATENATE("R2C",'Mapa final GC'!$S$21),"")</f>
        <v/>
      </c>
      <c r="X13" s="39" t="str">
        <f>IF(AND('Mapa final GC'!$AJ$22="Muy Alta",'Mapa final GC'!$AL$22="Moderado"),CONCATENATE("R2C",'Mapa final GC'!$S$22),"")</f>
        <v/>
      </c>
      <c r="Y13" s="39" t="str">
        <f>IF(AND('Mapa final GC'!$AJ$23="Muy Alta",'Mapa final GC'!$AL$23="Moderado"),CONCATENATE("R2C",'Mapa final GC'!$S$23),"")</f>
        <v/>
      </c>
      <c r="Z13" s="39" t="str">
        <f>IF(AND('Mapa final GC'!$AJ$24="Muy Alta",'Mapa final GC'!$AL$24="Moderado"),CONCATENATE("R2C",'Mapa final GC'!$S$24),"")</f>
        <v/>
      </c>
      <c r="AA13" s="39" t="str">
        <f>IF(AND('Mapa final GC'!$AJ$25="Muy Alta",'Mapa final GC'!$AL$25="Moderado"),CONCATENATE("R2C",'Mapa final GC'!$S$25),"")</f>
        <v/>
      </c>
      <c r="AB13" s="40" t="str">
        <f>IF(AND('Mapa final GC'!$AJ$26="Muy Alta",'Mapa final GC'!$AL$26="Moderado"),CONCATENATE("R2C",'Mapa final GC'!$S$26),"")</f>
        <v/>
      </c>
      <c r="AC13" s="38" t="str">
        <f>IF(AND('Mapa final GC'!$AJ$21="Muy Alta",'Mapa final GC'!$AL$21="Mayor"),CONCATENATE("R2C",'Mapa final GC'!$S$21),"")</f>
        <v/>
      </c>
      <c r="AD13" s="39" t="str">
        <f>IF(AND('Mapa final GC'!$AJ$22="Muy Alta",'Mapa final GC'!$AL$22="Mayor"),CONCATENATE("R2C",'Mapa final GC'!$S$22),"")</f>
        <v/>
      </c>
      <c r="AE13" s="39" t="str">
        <f>IF(AND('Mapa final GC'!$AJ$23="Muy Alta",'Mapa final GC'!$AL$23="Mayor"),CONCATENATE("R2C",'Mapa final GC'!$S$23),"")</f>
        <v/>
      </c>
      <c r="AF13" s="39" t="str">
        <f>IF(AND('Mapa final GC'!$AJ$24="Muy Alta",'Mapa final GC'!$AL$24="Mayor"),CONCATENATE("R2C",'Mapa final GC'!$S$24),"")</f>
        <v/>
      </c>
      <c r="AG13" s="39" t="str">
        <f>IF(AND('Mapa final GC'!$AJ$25="Muy Alta",'Mapa final GC'!$AL$25="Mayor"),CONCATENATE("R2C",'Mapa final GC'!$S$25),"")</f>
        <v/>
      </c>
      <c r="AH13" s="40" t="str">
        <f>IF(AND('Mapa final GC'!$AJ$26="Muy Alta",'Mapa final GC'!$AL$26="Mayor"),CONCATENATE("R2C",'Mapa final GC'!$S$26),"")</f>
        <v/>
      </c>
      <c r="AI13" s="41" t="str">
        <f>IF(AND('Mapa final GC'!$AJ$21="Muy Alta",'Mapa final GC'!$AL$21="Catastrófico"),CONCATENATE("R2C",'Mapa final GC'!$S$21),"")</f>
        <v/>
      </c>
      <c r="AJ13" s="42" t="str">
        <f>IF(AND('Mapa final GC'!$AJ$22="Muy Alta",'Mapa final GC'!$AL$22="Catastrófico"),CONCATENATE("R2C",'Mapa final GC'!$S$22),"")</f>
        <v/>
      </c>
      <c r="AK13" s="42" t="str">
        <f>IF(AND('Mapa final GC'!$AJ$23="Muy Alta",'Mapa final GC'!$AL$23="Catastrófico"),CONCATENATE("R2C",'Mapa final GC'!$S$23),"")</f>
        <v/>
      </c>
      <c r="AL13" s="42" t="str">
        <f>IF(AND('Mapa final GC'!$AJ$24="Muy Alta",'Mapa final GC'!$AL$24="Catastrófico"),CONCATENATE("R2C",'Mapa final GC'!$S$24),"")</f>
        <v/>
      </c>
      <c r="AM13" s="42" t="str">
        <f>IF(AND('Mapa final GC'!$AJ$25="Muy Alta",'Mapa final GC'!$AL$25="Catastrófico"),CONCATENATE("R2C",'Mapa final GC'!$S$25),"")</f>
        <v/>
      </c>
      <c r="AN13" s="43" t="str">
        <f>IF(AND('Mapa final GC'!$AJ$26="Muy Alta",'Mapa final GC'!$AL$26="Catastrófico"),CONCATENATE("R2C",'Mapa final GC'!$S$26),"")</f>
        <v/>
      </c>
      <c r="AO13" s="69"/>
      <c r="AP13" s="797"/>
      <c r="AQ13" s="798"/>
      <c r="AR13" s="798"/>
      <c r="AS13" s="798"/>
      <c r="AT13" s="798"/>
      <c r="AU13" s="79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92" ht="15" customHeight="1" x14ac:dyDescent="0.25">
      <c r="B14" s="69"/>
      <c r="C14" s="679"/>
      <c r="D14" s="679"/>
      <c r="E14" s="680"/>
      <c r="F14" s="778"/>
      <c r="G14" s="779"/>
      <c r="H14" s="779"/>
      <c r="I14" s="779"/>
      <c r="J14" s="779"/>
      <c r="K14" s="38" t="str">
        <f>IF(AND('Mapa final GC'!$AJ$27="Muy Alta",'Mapa final GC'!$AL$27="Leve"),CONCATENATE("R2C",'Mapa final GC'!$S$27),"")</f>
        <v/>
      </c>
      <c r="L14" s="39" t="str">
        <f>IF(AND('Mapa final GC'!$AJ$28="Muy Alta",'Mapa final GC'!$AL$28="Leve"),CONCATENATE("R2C",'Mapa final GC'!$S$28),"")</f>
        <v/>
      </c>
      <c r="M14" s="39" t="str">
        <f>IF(AND('Mapa final GC'!$AJ$29="Muy Alta",'Mapa final GC'!$AL$29="Leve"),CONCATENATE("R2C",'Mapa final GC'!$S$29),"")</f>
        <v/>
      </c>
      <c r="N14" s="39" t="str">
        <f>IF(AND('Mapa final GC'!$AJ$30="Muy Alta",'Mapa final GC'!$AL$30="Leve"),CONCATENATE("R2C",'Mapa final GC'!$S$30),"")</f>
        <v/>
      </c>
      <c r="O14" s="39" t="str">
        <f>IF(AND('Mapa final GC'!$AJ$31="Muy Alta",'Mapa final GC'!$AL$31="Leve"),CONCATENATE("R2C",'Mapa final GC'!$S$31),"")</f>
        <v/>
      </c>
      <c r="P14" s="40" t="str">
        <f>IF(AND('Mapa final GC'!$AJ$32="Muy Alta",'Mapa final GC'!$AL$32="Leve"),CONCATENATE("R2C",'Mapa final GC'!$S$32),"")</f>
        <v/>
      </c>
      <c r="Q14" s="39" t="str">
        <f>IF(AND('Mapa final GC'!$AJ$27="Muy Alta",'Mapa final GC'!$AL$27="Menor"),CONCATENATE("R2C",'Mapa final GC'!$S$27),"")</f>
        <v/>
      </c>
      <c r="R14" s="39" t="str">
        <f>IF(AND('Mapa final GC'!$AJ$28="Muy Alta",'Mapa final GC'!$AL$28="Menor"),CONCATENATE("R2C",'Mapa final GC'!$S$28),"")</f>
        <v/>
      </c>
      <c r="S14" s="39" t="str">
        <f>IF(AND('Mapa final GC'!$AJ$29="Muy Alta",'Mapa final GC'!$AL$29="Menor"),CONCATENATE("R2C",'Mapa final GC'!$S$29),"")</f>
        <v/>
      </c>
      <c r="T14" s="39" t="str">
        <f>IF(AND('Mapa final GC'!$AJ$30="Muy Alta",'Mapa final GC'!$AL$30="Menor"),CONCATENATE("R2C",'Mapa final GC'!$S$30),"")</f>
        <v/>
      </c>
      <c r="U14" s="39" t="str">
        <f>IF(AND('Mapa final GC'!$AJ$31="Muy Alta",'Mapa final GC'!$AL$31="Menor"),CONCATENATE("R2C",'Mapa final GC'!$S$31),"")</f>
        <v/>
      </c>
      <c r="V14" s="40" t="str">
        <f>IF(AND('Mapa final GC'!$AJ$32="Muy Alta",'Mapa final GC'!$AL$32="Menor"),CONCATENATE("R2C",'Mapa final GC'!$S$32),"")</f>
        <v/>
      </c>
      <c r="W14" s="38" t="str">
        <f>IF(AND('Mapa final GC'!$AJ$27="Muy Alta",'Mapa final GC'!$AL$27="Moderado"),CONCATENATE("R2C",'Mapa final GC'!$S$27),"")</f>
        <v/>
      </c>
      <c r="X14" s="39" t="str">
        <f>IF(AND('Mapa final GC'!$AJ$28="Muy Alta",'Mapa final GC'!$AL$28="Moderado"),CONCATENATE("R2C",'Mapa final GC'!$S$28),"")</f>
        <v/>
      </c>
      <c r="Y14" s="39" t="str">
        <f>IF(AND('Mapa final GC'!$AJ$29="Muy Alta",'Mapa final GC'!$AL$29="Moderado"),CONCATENATE("R2C",'Mapa final GC'!$S$29),"")</f>
        <v/>
      </c>
      <c r="Z14" s="39" t="str">
        <f>IF(AND('Mapa final GC'!$AJ$30="Muy Alta",'Mapa final GC'!$AL$30="Moderado"),CONCATENATE("R2C",'Mapa final GC'!$S$30),"")</f>
        <v/>
      </c>
      <c r="AA14" s="39" t="str">
        <f>IF(AND('Mapa final GC'!$AJ$31="Muy Alta",'Mapa final GC'!$AL$31="Moderado"),CONCATENATE("R2C",'Mapa final GC'!$S$31),"")</f>
        <v/>
      </c>
      <c r="AB14" s="40" t="str">
        <f>IF(AND('Mapa final GC'!$AJ$32="Muy Alta",'Mapa final GC'!$AL$32="Moderado"),CONCATENATE("R2C",'Mapa final GC'!$S$32),"")</f>
        <v/>
      </c>
      <c r="AC14" s="38" t="str">
        <f>IF(AND('Mapa final GC'!$AJ$27="Muy Alta",'Mapa final GC'!$AL$27="Mayor"),CONCATENATE("R2C",'Mapa final GC'!$S$27),"")</f>
        <v/>
      </c>
      <c r="AD14" s="39" t="str">
        <f>IF(AND('Mapa final GC'!$AJ$28="Muy Alta",'Mapa final GC'!$AL$28="Mayor"),CONCATENATE("R2C",'Mapa final GC'!$S$28),"")</f>
        <v/>
      </c>
      <c r="AE14" s="39" t="str">
        <f>IF(AND('Mapa final GC'!$AJ$29="Muy Alta",'Mapa final GC'!$AL$29="Mayor"),CONCATENATE("R2C",'Mapa final GC'!$S$29),"")</f>
        <v/>
      </c>
      <c r="AF14" s="39" t="str">
        <f>IF(AND('Mapa final GC'!$AJ$30="Muy Alta",'Mapa final GC'!$AL$30="Mayor"),CONCATENATE("R2C",'Mapa final GC'!$S$30),"")</f>
        <v/>
      </c>
      <c r="AG14" s="39" t="str">
        <f>IF(AND('Mapa final GC'!$AJ$31="Muy Alta",'Mapa final GC'!$AL$31="Mayor"),CONCATENATE("R2C",'Mapa final GC'!$S$31),"")</f>
        <v/>
      </c>
      <c r="AH14" s="40" t="str">
        <f>IF(AND('Mapa final GC'!$AJ$32="Muy Alta",'Mapa final GC'!$AL$32="Mayor"),CONCATENATE("R2C",'Mapa final GC'!$S$32),"")</f>
        <v/>
      </c>
      <c r="AI14" s="41" t="str">
        <f>IF(AND('Mapa final GC'!$AJ$27="Muy Alta",'Mapa final GC'!$AL$27="Catastrófico"),CONCATENATE("R2C",'Mapa final GC'!$S$27),"")</f>
        <v/>
      </c>
      <c r="AJ14" s="42" t="str">
        <f>IF(AND('Mapa final GC'!$AJ$28="Muy Alta",'Mapa final GC'!$AL$28="Catastrófico"),CONCATENATE("R2C",'Mapa final GC'!$S$28),"")</f>
        <v/>
      </c>
      <c r="AK14" s="42" t="str">
        <f>IF(AND('Mapa final GC'!$AJ$29="Muy Alta",'Mapa final GC'!$AL$29="Catastrófico"),CONCATENATE("R2C",'Mapa final GC'!$S$29),"")</f>
        <v/>
      </c>
      <c r="AL14" s="42" t="str">
        <f>IF(AND('Mapa final GC'!$AJ$30="Muy Alta",'Mapa final GC'!$AL$30="Catastrófico"),CONCATENATE("R2C",'Mapa final GC'!$S$30),"")</f>
        <v/>
      </c>
      <c r="AM14" s="42" t="str">
        <f>IF(AND('Mapa final GC'!$AJ$31="Muy Alta",'Mapa final GC'!$AL$31="Catastrófico"),CONCATENATE("R2C",'Mapa final GC'!$S$31),"")</f>
        <v/>
      </c>
      <c r="AN14" s="43" t="str">
        <f>IF(AND('Mapa final GC'!$AJ$32="Muy Alta",'Mapa final GC'!$AL$32="Catastrófico"),CONCATENATE("R2C",'Mapa final GC'!$S$32),"")</f>
        <v/>
      </c>
      <c r="AO14" s="69"/>
      <c r="AP14" s="797"/>
      <c r="AQ14" s="798"/>
      <c r="AR14" s="798"/>
      <c r="AS14" s="798"/>
      <c r="AT14" s="798"/>
      <c r="AU14" s="79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92" ht="15" customHeight="1" x14ac:dyDescent="0.25">
      <c r="B15" s="69"/>
      <c r="C15" s="679"/>
      <c r="D15" s="679"/>
      <c r="E15" s="680"/>
      <c r="F15" s="778"/>
      <c r="G15" s="779"/>
      <c r="H15" s="779"/>
      <c r="I15" s="779"/>
      <c r="J15" s="779"/>
      <c r="K15" s="38" t="str">
        <f>IF(AND('Mapa final GC'!$AJ$33="Muy Alta",'Mapa final GC'!$AL$33="Leve"),CONCATENATE("R2C",'Mapa final GC'!$S$33),"")</f>
        <v/>
      </c>
      <c r="L15" s="39" t="str">
        <f>IF(AND('Mapa final GC'!$AJ$34="Muy Alta",'Mapa final GC'!$AL$34="Leve"),CONCATENATE("R2C",'Mapa final GC'!$S$34),"")</f>
        <v/>
      </c>
      <c r="M15" s="39" t="str">
        <f>IF(AND('Mapa final GC'!$AJ$35="Muy Alta",'Mapa final GC'!$AL$35="Leve"),CONCATENATE("R2C",'Mapa final GC'!$S$35),"")</f>
        <v/>
      </c>
      <c r="N15" s="39" t="str">
        <f>IF(AND('Mapa final GC'!$AJ$36="Muy Alta",'Mapa final GC'!$AL$36="Leve"),CONCATENATE("R2C",'Mapa final GC'!$S$36),"")</f>
        <v/>
      </c>
      <c r="O15" s="39" t="str">
        <f>IF(AND('Mapa final GC'!$AJ$37="Muy Alta",'Mapa final GC'!$AL$37="Leve"),CONCATENATE("R2C",'Mapa final GC'!$S$37),"")</f>
        <v/>
      </c>
      <c r="P15" s="40" t="str">
        <f>IF(AND('Mapa final GC'!$AJ$38="Muy Alta",'Mapa final GC'!$AL$38="Leve"),CONCATENATE("R2C",'Mapa final GC'!$S$38),"")</f>
        <v/>
      </c>
      <c r="Q15" s="39" t="str">
        <f>IF(AND('Mapa final GC'!$AJ$33="Muy Alta",'Mapa final GC'!$AL$33="Menor"),CONCATENATE("R2C",'Mapa final GC'!$S$33),"")</f>
        <v/>
      </c>
      <c r="R15" s="39" t="str">
        <f>IF(AND('Mapa final GC'!$AJ$34="Muy Alta",'Mapa final GC'!$AL$34="Menor"),CONCATENATE("R2C",'Mapa final GC'!$S$34),"")</f>
        <v/>
      </c>
      <c r="S15" s="39" t="str">
        <f>IF(AND('Mapa final GC'!$AJ$35="Muy Alta",'Mapa final GC'!$AL$35="Menor"),CONCATENATE("R2C",'Mapa final GC'!$S$35),"")</f>
        <v/>
      </c>
      <c r="T15" s="39" t="str">
        <f>IF(AND('Mapa final GC'!$AJ$36="Muy Alta",'Mapa final GC'!$AL$36="Menor"),CONCATENATE("R2C",'Mapa final GC'!$S$36),"")</f>
        <v/>
      </c>
      <c r="U15" s="39" t="str">
        <f>IF(AND('Mapa final GC'!$AJ$37="Muy Alta",'Mapa final GC'!$AL$37="LMenor"),CONCATENATE("R2C",'Mapa final GC'!$S$37),"")</f>
        <v/>
      </c>
      <c r="V15" s="40" t="str">
        <f>IF(AND('Mapa final GC'!$AJ$38="Muy Alta",'Mapa final GC'!$AL$38="Menor"),CONCATENATE("R2C",'Mapa final GC'!$S$38),"")</f>
        <v/>
      </c>
      <c r="W15" s="38" t="str">
        <f>IF(AND('Mapa final GC'!$AJ$33="Muy Alta",'Mapa final GC'!$AL$33="Moderado"),CONCATENATE("R2C",'Mapa final GC'!$S$33),"")</f>
        <v/>
      </c>
      <c r="X15" s="39" t="str">
        <f>IF(AND('Mapa final GC'!$AJ$34="Muy Alta",'Mapa final GC'!$AL$34="Moderado"),CONCATENATE("R2C",'Mapa final GC'!$S$34),"")</f>
        <v/>
      </c>
      <c r="Y15" s="39" t="str">
        <f>IF(AND('Mapa final GC'!$AJ$35="Muy Alta",'Mapa final GC'!$AL$35="Moderado"),CONCATENATE("R2C",'Mapa final GC'!$S$35),"")</f>
        <v/>
      </c>
      <c r="Z15" s="39" t="str">
        <f>IF(AND('Mapa final GC'!$AJ$36="Muy Alta",'Mapa final GC'!$AL$36="Moderado"),CONCATENATE("R2C",'Mapa final GC'!$S$36),"")</f>
        <v/>
      </c>
      <c r="AA15" s="39" t="str">
        <f>IF(AND('Mapa final GC'!$AJ$37="Muy Alta",'Mapa final GC'!$AL$37="Moderado"),CONCATENATE("R2C",'Mapa final GC'!$S$37),"")</f>
        <v/>
      </c>
      <c r="AB15" s="40" t="str">
        <f>IF(AND('Mapa final GC'!$AJ$38="Muy Alta",'Mapa final GC'!$AL$38="Moderado"),CONCATENATE("R2C",'Mapa final GC'!$S$38),"")</f>
        <v/>
      </c>
      <c r="AC15" s="38" t="str">
        <f>IF(AND('Mapa final GC'!$AJ$33="Muy Alta",'Mapa final GC'!$AL$33="Mayor"),CONCATENATE("R2C",'Mapa final GC'!$S$33),"")</f>
        <v/>
      </c>
      <c r="AD15" s="39" t="str">
        <f>IF(AND('Mapa final GC'!$AJ$34="Muy Alta",'Mapa final GC'!$AL$34="Mayor"),CONCATENATE("R2C",'Mapa final GC'!$S$34),"")</f>
        <v/>
      </c>
      <c r="AE15" s="39" t="str">
        <f>IF(AND('Mapa final GC'!$AJ$35="Muy Alta",'Mapa final GC'!$AL$35="Mayor"),CONCATENATE("R2C",'Mapa final GC'!$S$35),"")</f>
        <v/>
      </c>
      <c r="AF15" s="39" t="str">
        <f>IF(AND('Mapa final GC'!$AJ$36="Muy Alta",'Mapa final GC'!$AL$36="Mayor"),CONCATENATE("R2C",'Mapa final GC'!$S$36),"")</f>
        <v/>
      </c>
      <c r="AG15" s="39" t="str">
        <f>IF(AND('Mapa final GC'!$AJ$37="Muy Alta",'Mapa final GC'!$AL$37="Mayor"),CONCATENATE("R2C",'Mapa final GC'!$S$37),"")</f>
        <v/>
      </c>
      <c r="AH15" s="40" t="str">
        <f>IF(AND('Mapa final GC'!$AJ$38="Muy Alta",'Mapa final GC'!$AL$38="Mayor"),CONCATENATE("R2C",'Mapa final GC'!$S$38),"")</f>
        <v/>
      </c>
      <c r="AI15" s="41" t="str">
        <f>IF(AND('Mapa final GC'!$AJ$33="Muy Alta",'Mapa final GC'!$AL$33="Catastrófico"),CONCATENATE("R2C",'Mapa final GC'!$S$33),"")</f>
        <v/>
      </c>
      <c r="AJ15" s="42" t="str">
        <f>IF(AND('Mapa final GC'!$AJ$34="Muy Alta",'Mapa final GC'!$AL$34="Catastrófico"),CONCATENATE("R2C",'Mapa final GC'!$S$34),"")</f>
        <v/>
      </c>
      <c r="AK15" s="42" t="str">
        <f>IF(AND('Mapa final GC'!$AJ$35="Muy Alta",'Mapa final GC'!$AL$35="Catastrófico"),CONCATENATE("R2C",'Mapa final GC'!$S$35),"")</f>
        <v/>
      </c>
      <c r="AL15" s="42" t="str">
        <f>IF(AND('Mapa final GC'!$AJ$36="Muy Alta",'Mapa final GC'!$AL$36="Catastrófico"),CONCATENATE("R2C",'Mapa final GC'!$S$36),"")</f>
        <v/>
      </c>
      <c r="AM15" s="42" t="str">
        <f>IF(AND('Mapa final GC'!$AJ$37="Muy Alta",'Mapa final GC'!$AL$37="LCatastrófico"),CONCATENATE("R2C",'Mapa final GC'!$S$37),"")</f>
        <v/>
      </c>
      <c r="AN15" s="43" t="str">
        <f>IF(AND('Mapa final GC'!$AJ$38="Muy Alta",'Mapa final GC'!$AL$38="Catastrófico"),CONCATENATE("R2C",'Mapa final GC'!$S$38),"")</f>
        <v/>
      </c>
      <c r="AO15" s="69"/>
      <c r="AP15" s="797"/>
      <c r="AQ15" s="798"/>
      <c r="AR15" s="798"/>
      <c r="AS15" s="798"/>
      <c r="AT15" s="798"/>
      <c r="AU15" s="79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row>
    <row r="16" spans="1:92" ht="15" customHeight="1" x14ac:dyDescent="0.25">
      <c r="B16" s="69"/>
      <c r="C16" s="679"/>
      <c r="D16" s="679"/>
      <c r="E16" s="680"/>
      <c r="F16" s="778"/>
      <c r="G16" s="779"/>
      <c r="H16" s="779"/>
      <c r="I16" s="779"/>
      <c r="J16" s="779"/>
      <c r="K16" s="38" t="str">
        <f>IF(AND('Mapa final GC'!$AJ$39="Muy Alta",'Mapa final GC'!$AL$39="Leve"),CONCATENATE("R2C",'Mapa final GC'!$S$39),"")</f>
        <v/>
      </c>
      <c r="L16" s="39" t="str">
        <f>IF(AND('Mapa final GC'!$AJ$40="Muy Alta",'Mapa final GC'!$AL$40="Leve"),CONCATENATE("R2C",'Mapa final GC'!$S$40),"")</f>
        <v/>
      </c>
      <c r="M16" s="39" t="str">
        <f>IF(AND('Mapa final GC'!$AJ$41="Muy Alta",'Mapa final GC'!$AL$41="Leve"),CONCATENATE("R2C",'Mapa final GC'!$S$41),"")</f>
        <v/>
      </c>
      <c r="N16" s="39" t="str">
        <f>IF(AND('Mapa final GC'!$AJ$42="Muy Alta",'Mapa final GC'!$AL$42="Leve"),CONCATENATE("R2C",'Mapa final GC'!$S$42),"")</f>
        <v/>
      </c>
      <c r="O16" s="39" t="str">
        <f>IF(AND('Mapa final GC'!$AJ$43="Muy Alta",'Mapa final GC'!$AL$43="Leve"),CONCATENATE("R2C",'Mapa final GC'!$S$43),"")</f>
        <v/>
      </c>
      <c r="P16" s="40" t="str">
        <f>IF(AND('Mapa final GC'!$AJ$44="Muy Alta",'Mapa final GC'!$AL$44="Leve"),CONCATENATE("R2C",'Mapa final GC'!$S$44),"")</f>
        <v/>
      </c>
      <c r="Q16" s="39" t="str">
        <f>IF(AND('Mapa final GC'!$AJ$39="Muy Alta",'Mapa final GC'!$AL$39="Menor"),CONCATENATE("R2C",'Mapa final GC'!$S$39),"")</f>
        <v/>
      </c>
      <c r="R16" s="39" t="str">
        <f>IF(AND('Mapa final GC'!$AJ$40="Muy Alta",'Mapa final GC'!$AL$40="Menor"),CONCATENATE("R2C",'Mapa final GC'!$S$40),"")</f>
        <v/>
      </c>
      <c r="S16" s="39" t="str">
        <f>IF(AND('Mapa final GC'!$AJ$41="Muy Alta",'Mapa final GC'!$AL$41="Menor"),CONCATENATE("R2C",'Mapa final GC'!$S$41),"")</f>
        <v/>
      </c>
      <c r="T16" s="39" t="str">
        <f>IF(AND('Mapa final GC'!$AJ$42="Muy Alta",'Mapa final GC'!$AL$42="Menor"),CONCATENATE("R2C",'Mapa final GC'!$S$42),"")</f>
        <v/>
      </c>
      <c r="U16" s="39" t="str">
        <f>IF(AND('Mapa final GC'!$AJ$43="Muy Alta",'Mapa final GC'!$AL$43="Menor"),CONCATENATE("R2C",'Mapa final GC'!$S$43),"")</f>
        <v/>
      </c>
      <c r="V16" s="40" t="str">
        <f>IF(AND('Mapa final GC'!$AJ$44="Muy Alta",'Mapa final GC'!$AL$44="Menor"),CONCATENATE("R2C",'Mapa final GC'!$S$44),"")</f>
        <v/>
      </c>
      <c r="W16" s="38" t="str">
        <f>IF(AND('Mapa final GC'!$AJ$39="Muy Alta",'Mapa final GC'!$AL$39="Moderado"),CONCATENATE("R2C",'Mapa final GC'!$S$39),"")</f>
        <v/>
      </c>
      <c r="X16" s="39" t="str">
        <f>IF(AND('Mapa final GC'!$AJ$40="Muy Alta",'Mapa final GC'!$AL$40="Moderado"),CONCATENATE("R2C",'Mapa final GC'!$S$40),"")</f>
        <v/>
      </c>
      <c r="Y16" s="39" t="str">
        <f>IF(AND('Mapa final GC'!$AJ$41="Muy Alta",'Mapa final GC'!$AL$41="Moderado"),CONCATENATE("R2C",'Mapa final GC'!$S$41),"")</f>
        <v/>
      </c>
      <c r="Z16" s="39" t="str">
        <f>IF(AND('Mapa final GC'!$AJ$42="Muy Alta",'Mapa final GC'!$AL$42="Moderado"),CONCATENATE("R2C",'Mapa final GC'!$S$42),"")</f>
        <v/>
      </c>
      <c r="AA16" s="39" t="str">
        <f>IF(AND('Mapa final GC'!$AJ$43="Muy Alta",'Mapa final GC'!$AL$43="Moderado"),CONCATENATE("R2C",'Mapa final GC'!$S$43),"")</f>
        <v/>
      </c>
      <c r="AB16" s="40" t="str">
        <f>IF(AND('Mapa final GC'!$AJ$44="Muy Alta",'Mapa final GC'!$AL$44="Moderado"),CONCATENATE("R2C",'Mapa final GC'!$S$44),"")</f>
        <v/>
      </c>
      <c r="AC16" s="38" t="str">
        <f>IF(AND('Mapa final GC'!$AJ$39="Muy Alta",'Mapa final GC'!$AL$39="Mayor"),CONCATENATE("R2C",'Mapa final GC'!$S$39),"")</f>
        <v/>
      </c>
      <c r="AD16" s="39" t="str">
        <f>IF(AND('Mapa final GC'!$AJ$40="Muy Alta",'Mapa final GC'!$AL$40="Mayor"),CONCATENATE("R2C",'Mapa final GC'!$S$40),"")</f>
        <v/>
      </c>
      <c r="AE16" s="39" t="str">
        <f>IF(AND('Mapa final GC'!$AJ$41="Muy Alta",'Mapa final GC'!$AL$41="Mayor"),CONCATENATE("R2C",'Mapa final GC'!$S$41),"")</f>
        <v/>
      </c>
      <c r="AF16" s="39" t="str">
        <f>IF(AND('Mapa final GC'!$AJ$42="Muy Alta",'Mapa final GC'!$AL$42="Mayor"),CONCATENATE("R2C",'Mapa final GC'!$S$42),"")</f>
        <v/>
      </c>
      <c r="AG16" s="39" t="str">
        <f>IF(AND('Mapa final GC'!$AJ$43="Muy Alta",'Mapa final GC'!$AL$43="Mayor"),CONCATENATE("R2C",'Mapa final GC'!$S$43),"")</f>
        <v/>
      </c>
      <c r="AH16" s="40" t="str">
        <f>IF(AND('Mapa final GC'!$AJ$44="Muy Alta",'Mapa final GC'!$AL$44="Mayor"),CONCATENATE("R2C",'Mapa final GC'!$S$44),"")</f>
        <v/>
      </c>
      <c r="AI16" s="41" t="str">
        <f>IF(AND('Mapa final GC'!$AJ$39="Muy Alta",'Mapa final GC'!$AL$39="Catastrófico"),CONCATENATE("R2C",'Mapa final GC'!$S$39),"")</f>
        <v/>
      </c>
      <c r="AJ16" s="42" t="str">
        <f>IF(AND('Mapa final GC'!$AJ$40="Muy Alta",'Mapa final GC'!$AL$40="Catastrófico"),CONCATENATE("R2C",'Mapa final GC'!$S$40),"")</f>
        <v/>
      </c>
      <c r="AK16" s="42" t="str">
        <f>IF(AND('Mapa final GC'!$AJ$41="Muy Alta",'Mapa final GC'!$AL$41="Catastrófico"),CONCATENATE("R2C",'Mapa final GC'!$S$41),"")</f>
        <v/>
      </c>
      <c r="AL16" s="42" t="str">
        <f>IF(AND('Mapa final GC'!$AJ$42="Muy Alta",'Mapa final GC'!$AL$42="Catastrófico"),CONCATENATE("R2C",'Mapa final GC'!$S$42),"")</f>
        <v/>
      </c>
      <c r="AM16" s="42" t="str">
        <f>IF(AND('Mapa final GC'!$AJ$43="Muy Alta",'Mapa final GC'!$AL$43="Catastrófico"),CONCATENATE("R2C",'Mapa final GC'!$S$43),"")</f>
        <v/>
      </c>
      <c r="AN16" s="43" t="str">
        <f>IF(AND('Mapa final GC'!$AJ$44="Muy Alta",'Mapa final GC'!$AL$44="Catastrófico"),CONCATENATE("R2C",'Mapa final GC'!$S$44),"")</f>
        <v/>
      </c>
      <c r="AO16" s="69"/>
      <c r="AP16" s="797"/>
      <c r="AQ16" s="798"/>
      <c r="AR16" s="798"/>
      <c r="AS16" s="798"/>
      <c r="AT16" s="798"/>
      <c r="AU16" s="79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row>
    <row r="17" spans="2:77" ht="15" customHeight="1" x14ac:dyDescent="0.25">
      <c r="B17" s="69"/>
      <c r="C17" s="679"/>
      <c r="D17" s="679"/>
      <c r="E17" s="680"/>
      <c r="F17" s="778"/>
      <c r="G17" s="779"/>
      <c r="H17" s="779"/>
      <c r="I17" s="779"/>
      <c r="J17" s="779"/>
      <c r="K17" s="38" t="str">
        <f>IF(AND('Mapa final GC'!$AJ$45="Muy Alta",'Mapa final GC'!$AL$45="Leve"),CONCATENATE("R2C",'Mapa final GC'!$S$45),"")</f>
        <v/>
      </c>
      <c r="L17" s="39" t="str">
        <f>IF(AND('Mapa final GC'!$AJ$46="Muy Alta",'Mapa final GC'!$AL$46="Leve"),CONCATENATE("R2C",'Mapa final GC'!$S$46),"")</f>
        <v/>
      </c>
      <c r="M17" s="39" t="str">
        <f>IF(AND('Mapa final GC'!$AJ$47="Muy Alta",'Mapa final GC'!$AL$47="Leve"),CONCATENATE("R2C",'Mapa final GC'!$S$47),"")</f>
        <v/>
      </c>
      <c r="N17" s="39" t="str">
        <f>IF(AND('Mapa final GC'!$AJ$48="Muy Alta",'Mapa final GC'!$AL$48="Leve"),CONCATENATE("R2C",'Mapa final GC'!$S$48),"")</f>
        <v/>
      </c>
      <c r="O17" s="39" t="str">
        <f>IF(AND('Mapa final GC'!$AJ$49="Muy Alta",'Mapa final GC'!$AL$49="Leve"),CONCATENATE("R2C",'Mapa final GC'!$S$49),"")</f>
        <v/>
      </c>
      <c r="P17" s="40" t="str">
        <f>IF(AND('Mapa final GC'!$AJ$60="Muy Alta",'Mapa final GC'!$AL$50="Leve"),CONCATENATE("R2C",'Mapa final GC'!$S$50),"")</f>
        <v/>
      </c>
      <c r="Q17" s="39" t="str">
        <f>IF(AND('Mapa final GC'!$AJ$45="Muy Alta",'Mapa final GC'!$AL$45="Menor"),CONCATENATE("R2C",'Mapa final GC'!$S$45),"")</f>
        <v/>
      </c>
      <c r="R17" s="39" t="str">
        <f>IF(AND('Mapa final GC'!$AJ$46="Muy Alta",'Mapa final GC'!$AL$46="Menor"),CONCATENATE("R2C",'Mapa final GC'!$S$46),"")</f>
        <v/>
      </c>
      <c r="S17" s="39" t="str">
        <f>IF(AND('Mapa final GC'!$AJ$47="Muy Alta",'Mapa final GC'!$AL$47="Menor"),CONCATENATE("R2C",'Mapa final GC'!$S$47),"")</f>
        <v/>
      </c>
      <c r="T17" s="39" t="str">
        <f>IF(AND('Mapa final GC'!$AJ$48="Muy Alta",'Mapa final GC'!$AL$48="Menor"),CONCATENATE("R2C",'Mapa final GC'!$S$48),"")</f>
        <v/>
      </c>
      <c r="U17" s="39" t="str">
        <f>IF(AND('Mapa final GC'!$AJ$49="Muy Alta",'Mapa final GC'!$AL$49="Menor"),CONCATENATE("R2C",'Mapa final GC'!$S$49),"")</f>
        <v/>
      </c>
      <c r="V17" s="40" t="str">
        <f>IF(AND('Mapa final GC'!$AJ$60="Muy Alta",'Mapa final GC'!$AL$50="Menor"),CONCATENATE("R2C",'Mapa final GC'!$S$50),"")</f>
        <v/>
      </c>
      <c r="W17" s="38" t="str">
        <f>IF(AND('Mapa final GC'!$AJ$45="Muy Alta",'Mapa final GC'!$AL$45="Moderado"),CONCATENATE("R2C",'Mapa final GC'!$S$45),"")</f>
        <v/>
      </c>
      <c r="X17" s="39" t="str">
        <f>IF(AND('Mapa final GC'!$AJ$46="Muy Alta",'Mapa final GC'!$AL$46="Moderado"),CONCATENATE("R2C",'Mapa final GC'!$S$46),"")</f>
        <v/>
      </c>
      <c r="Y17" s="39" t="str">
        <f>IF(AND('Mapa final GC'!$AJ$47="Muy Alta",'Mapa final GC'!$AL$47="Moderado"),CONCATENATE("R2C",'Mapa final GC'!$S$47),"")</f>
        <v/>
      </c>
      <c r="Z17" s="39" t="str">
        <f>IF(AND('Mapa final GC'!$AJ$48="Muy Alta",'Mapa final GC'!$AL$48="Moderado"),CONCATENATE("R2C",'Mapa final GC'!$S$48),"")</f>
        <v/>
      </c>
      <c r="AA17" s="39" t="str">
        <f>IF(AND('Mapa final GC'!$AJ$49="Muy Alta",'Mapa final GC'!$AL$49="Moderado"),CONCATENATE("R2C",'Mapa final GC'!$S$49),"")</f>
        <v/>
      </c>
      <c r="AB17" s="40" t="str">
        <f>IF(AND('Mapa final GC'!$AJ$60="Muy Alta",'Mapa final GC'!$AL$50="Moderado"),CONCATENATE("R2C",'Mapa final GC'!$S$50),"")</f>
        <v/>
      </c>
      <c r="AC17" s="38" t="str">
        <f>IF(AND('Mapa final GC'!$AJ$45="Muy Alta",'Mapa final GC'!$AL$45="Mayor"),CONCATENATE("R2C",'Mapa final GC'!$S$45),"")</f>
        <v/>
      </c>
      <c r="AD17" s="39" t="str">
        <f>IF(AND('Mapa final GC'!$AJ$46="Muy Alta",'Mapa final GC'!$AL$46="Mayor"),CONCATENATE("R2C",'Mapa final GC'!$S$46),"")</f>
        <v/>
      </c>
      <c r="AE17" s="39" t="str">
        <f>IF(AND('Mapa final GC'!$AJ$47="Muy Alta",'Mapa final GC'!$AL$47="Mayor"),CONCATENATE("R2C",'Mapa final GC'!$S$47),"")</f>
        <v/>
      </c>
      <c r="AF17" s="39" t="str">
        <f>IF(AND('Mapa final GC'!$AJ$48="Muy Alta",'Mapa final GC'!$AL$48="Mayor"),CONCATENATE("R2C",'Mapa final GC'!$S$48),"")</f>
        <v/>
      </c>
      <c r="AG17" s="39" t="str">
        <f>IF(AND('Mapa final GC'!$AJ$49="Muy Alta",'Mapa final GC'!$AL$49="Mayor"),CONCATENATE("R2C",'Mapa final GC'!$S$49),"")</f>
        <v/>
      </c>
      <c r="AH17" s="40" t="str">
        <f>IF(AND('Mapa final GC'!$AJ$60="Muy Alta",'Mapa final GC'!$AL$50="Mayor"),CONCATENATE("R2C",'Mapa final GC'!$S$50),"")</f>
        <v/>
      </c>
      <c r="AI17" s="41" t="str">
        <f>IF(AND('Mapa final GC'!$AJ$45="Muy Alta",'Mapa final GC'!$AL$45="Catastrófico"),CONCATENATE("R2C",'Mapa final GC'!$S$45),"")</f>
        <v/>
      </c>
      <c r="AJ17" s="42" t="str">
        <f>IF(AND('Mapa final GC'!$AJ$46="Muy Alta",'Mapa final GC'!$AL$46="Catastrófico"),CONCATENATE("R2C",'Mapa final GC'!$S$46),"")</f>
        <v/>
      </c>
      <c r="AK17" s="42" t="str">
        <f>IF(AND('Mapa final GC'!$AJ$47="Muy Alta",'Mapa final GC'!$AL$47="Catastrófico"),CONCATENATE("R2C",'Mapa final GC'!$S$47),"")</f>
        <v/>
      </c>
      <c r="AL17" s="42" t="str">
        <f>IF(AND('Mapa final GC'!$AJ$48="Muy Alta",'Mapa final GC'!$AL$48="Catastrófico"),CONCATENATE("R2C",'Mapa final GC'!$S$48),"")</f>
        <v/>
      </c>
      <c r="AM17" s="42" t="str">
        <f>IF(AND('Mapa final GC'!$AJ$49="Muy Alta",'Mapa final GC'!$AL$49="Catastrófico"),CONCATENATE("R2C",'Mapa final GC'!$S$49),"")</f>
        <v/>
      </c>
      <c r="AN17" s="43" t="str">
        <f>IF(AND('Mapa final GC'!$AJ$60="Muy Alta",'Mapa final GC'!$AL$50="Catastrófico"),CONCATENATE("R2C",'Mapa final GC'!$S$50),"")</f>
        <v/>
      </c>
      <c r="AO17" s="69"/>
      <c r="AP17" s="797"/>
      <c r="AQ17" s="798"/>
      <c r="AR17" s="798"/>
      <c r="AS17" s="798"/>
      <c r="AT17" s="798"/>
      <c r="AU17" s="79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row>
    <row r="18" spans="2:77" ht="15" customHeight="1" x14ac:dyDescent="0.25">
      <c r="B18" s="69"/>
      <c r="C18" s="679"/>
      <c r="D18" s="679"/>
      <c r="E18" s="680"/>
      <c r="F18" s="778"/>
      <c r="G18" s="779"/>
      <c r="H18" s="779"/>
      <c r="I18" s="779"/>
      <c r="J18" s="779"/>
      <c r="K18" s="38" t="str">
        <f>IF(AND('Mapa final GC'!$AJ$51="Muy Alta",'Mapa final GC'!$AL$51="Leve"),CONCATENATE("R2C",'Mapa final GC'!$S$51),"")</f>
        <v/>
      </c>
      <c r="L18" s="39" t="str">
        <f>IF(AND('Mapa final GC'!$AJ$52="Muy Alta",'Mapa final GC'!$AL$52="Leve"),CONCATENATE("R2C",'Mapa final GC'!$S$52),"")</f>
        <v/>
      </c>
      <c r="M18" s="39" t="str">
        <f>IF(AND('Mapa final GC'!$AJ$53="Muy Alta",'Mapa final GC'!$AL$53="Leve"),CONCATENATE("R2C",'Mapa final GC'!$S$53),"")</f>
        <v/>
      </c>
      <c r="N18" s="39" t="str">
        <f>IF(AND('Mapa final GC'!$AJ$54="Muy Alta",'Mapa final GC'!$AL$54="Leve"),CONCATENATE("R2C",'Mapa final GC'!$S$54),"")</f>
        <v/>
      </c>
      <c r="O18" s="39" t="str">
        <f>IF(AND('Mapa final GC'!$AJ$55="Muy Alta",'Mapa final GC'!$AL$55="Leve"),CONCATENATE("R2C",'Mapa final GC'!$S$55),"")</f>
        <v/>
      </c>
      <c r="P18" s="40" t="str">
        <f>IF(AND('Mapa final GC'!$AJ$56="Muy Alta",'Mapa final GC'!$AL$56="Leve"),CONCATENATE("R2C",'Mapa final GC'!$S$56),"")</f>
        <v/>
      </c>
      <c r="Q18" s="39" t="str">
        <f>IF(AND('Mapa final GC'!$AJ$51="Muy Alta",'Mapa final GC'!$AL$51="Menor"),CONCATENATE("R2C",'Mapa final GC'!$S$51),"")</f>
        <v/>
      </c>
      <c r="R18" s="39" t="str">
        <f>IF(AND('Mapa final GC'!$AJ$52="Muy Alta",'Mapa final GC'!$AL$52="Menor"),CONCATENATE("R2C",'Mapa final GC'!$S$52),"")</f>
        <v/>
      </c>
      <c r="S18" s="39" t="str">
        <f>IF(AND('Mapa final GC'!$AJ$53="Muy Alta",'Mapa final GC'!$AL$53="Menor"),CONCATENATE("R2C",'Mapa final GC'!$S$53),"")</f>
        <v/>
      </c>
      <c r="T18" s="39" t="str">
        <f>IF(AND('Mapa final GC'!$AJ$54="Muy Alta",'Mapa final GC'!$AL$54="Menor"),CONCATENATE("R2C",'Mapa final GC'!$S$54),"")</f>
        <v/>
      </c>
      <c r="U18" s="39" t="str">
        <f>IF(AND('Mapa final GC'!$AJ$55="Muy Alta",'Mapa final GC'!$AL$55="Menor"),CONCATENATE("R2C",'Mapa final GC'!$S$55),"")</f>
        <v/>
      </c>
      <c r="V18" s="40" t="str">
        <f>IF(AND('Mapa final GC'!$AJ$56="Muy Alta",'Mapa final GC'!$AL$56="Menor"),CONCATENATE("R2C",'Mapa final GC'!$S$56),"")</f>
        <v/>
      </c>
      <c r="W18" s="38" t="str">
        <f>IF(AND('Mapa final GC'!$AJ$51="Muy Alta",'Mapa final GC'!$AL$51="Moderado"),CONCATENATE("R2C",'Mapa final GC'!$S$51),"")</f>
        <v/>
      </c>
      <c r="X18" s="39" t="str">
        <f>IF(AND('Mapa final GC'!$AJ$52="Muy Alta",'Mapa final GC'!$AL$52="Moderado"),CONCATENATE("R2C",'Mapa final GC'!$S$52),"")</f>
        <v/>
      </c>
      <c r="Y18" s="39" t="str">
        <f>IF(AND('Mapa final GC'!$AJ$53="Muy Alta",'Mapa final GC'!$AL$53="Moderado"),CONCATENATE("R2C",'Mapa final GC'!$S$53),"")</f>
        <v/>
      </c>
      <c r="Z18" s="39" t="str">
        <f>IF(AND('Mapa final GC'!$AJ$54="Muy Alta",'Mapa final GC'!$AL$54="Moderado"),CONCATENATE("R2C",'Mapa final GC'!$S$54),"")</f>
        <v/>
      </c>
      <c r="AA18" s="39" t="str">
        <f>IF(AND('Mapa final GC'!$AJ$55="Muy Alta",'Mapa final GC'!$AL$55="Moderado"),CONCATENATE("R2C",'Mapa final GC'!$S$55),"")</f>
        <v/>
      </c>
      <c r="AB18" s="40" t="str">
        <f>IF(AND('Mapa final GC'!$AJ$56="Muy Alta",'Mapa final GC'!$AL$56="Moderado"),CONCATENATE("R2C",'Mapa final GC'!$S$56),"")</f>
        <v/>
      </c>
      <c r="AC18" s="38" t="str">
        <f>IF(AND('Mapa final GC'!$AJ$51="Muy Alta",'Mapa final GC'!$AL$51="Mayor"),CONCATENATE("R2C",'Mapa final GC'!$S$51),"")</f>
        <v/>
      </c>
      <c r="AD18" s="39" t="str">
        <f>IF(AND('Mapa final GC'!$AJ$52="Muy Alta",'Mapa final GC'!$AL$52="Mayor"),CONCATENATE("R2C",'Mapa final GC'!$S$52),"")</f>
        <v/>
      </c>
      <c r="AE18" s="39" t="str">
        <f>IF(AND('Mapa final GC'!$AJ$53="Muy Alta",'Mapa final GC'!$AL$53="Mayor"),CONCATENATE("R2C",'Mapa final GC'!$S$53),"")</f>
        <v/>
      </c>
      <c r="AF18" s="39" t="str">
        <f>IF(AND('Mapa final GC'!$AJ$54="Muy Alta",'Mapa final GC'!$AL$54="Mayor"),CONCATENATE("R2C",'Mapa final GC'!$S$54),"")</f>
        <v/>
      </c>
      <c r="AG18" s="39" t="str">
        <f>IF(AND('Mapa final GC'!$AJ$55="Muy Alta",'Mapa final GC'!$AL$55="Mayor"),CONCATENATE("R2C",'Mapa final GC'!$S$55),"")</f>
        <v/>
      </c>
      <c r="AH18" s="40" t="str">
        <f>IF(AND('Mapa final GC'!$AJ$56="Muy Alta",'Mapa final GC'!$AL$56="Mayor"),CONCATENATE("R2C",'Mapa final GC'!$S$56),"")</f>
        <v/>
      </c>
      <c r="AI18" s="41" t="str">
        <f>IF(AND('Mapa final GC'!$AJ$51="Muy Alta",'Mapa final GC'!$AL$51="Catastrófico"),CONCATENATE("R2C",'Mapa final GC'!$S$51),"")</f>
        <v/>
      </c>
      <c r="AJ18" s="42" t="str">
        <f>IF(AND('Mapa final GC'!$AJ$52="Muy Alta",'Mapa final GC'!$AL$52="Catastrófico"),CONCATENATE("R2C",'Mapa final GC'!$S$52),"")</f>
        <v/>
      </c>
      <c r="AK18" s="42" t="str">
        <f>IF(AND('Mapa final GC'!$AJ$53="Muy Alta",'Mapa final GC'!$AL$53="Catastrófico"),CONCATENATE("R2C",'Mapa final GC'!$S$53),"")</f>
        <v/>
      </c>
      <c r="AL18" s="42" t="str">
        <f>IF(AND('Mapa final GC'!$AJ$54="Muy Alta",'Mapa final GC'!$AL$54="Catastrófico"),CONCATENATE("R2C",'Mapa final GC'!$S$54),"")</f>
        <v/>
      </c>
      <c r="AM18" s="42" t="str">
        <f>IF(AND('Mapa final GC'!$AJ$55="Muy Alta",'Mapa final GC'!$AL$55="Catastrófico"),CONCATENATE("R2C",'Mapa final GC'!$S$55),"")</f>
        <v/>
      </c>
      <c r="AN18" s="43" t="str">
        <f>IF(AND('Mapa final GC'!$AJ$56="Muy Alta",'Mapa final GC'!$AL$56="Catastrófico"),CONCATENATE("R2C",'Mapa final GC'!$S$56),"")</f>
        <v/>
      </c>
      <c r="AO18" s="69"/>
      <c r="AP18" s="797"/>
      <c r="AQ18" s="798"/>
      <c r="AR18" s="798"/>
      <c r="AS18" s="798"/>
      <c r="AT18" s="798"/>
      <c r="AU18" s="79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row>
    <row r="19" spans="2:77" ht="15" customHeight="1" x14ac:dyDescent="0.25">
      <c r="B19" s="69"/>
      <c r="C19" s="679"/>
      <c r="D19" s="679"/>
      <c r="E19" s="680"/>
      <c r="F19" s="778"/>
      <c r="G19" s="779"/>
      <c r="H19" s="779"/>
      <c r="I19" s="779"/>
      <c r="J19" s="779"/>
      <c r="K19" s="38" t="str">
        <f>IF(AND('Mapa final GC'!$AJ$57="Muy Alta",'Mapa final GC'!$AL$57="Leve"),CONCATENATE("R2C",'Mapa final GC'!$S$57),"")</f>
        <v/>
      </c>
      <c r="L19" s="39" t="str">
        <f>IF(AND('Mapa final GC'!$AJ$58="Muy Alta",'Mapa final GC'!$AL$58="Leve"),CONCATENATE("R2C",'Mapa final GC'!$S$58),"")</f>
        <v/>
      </c>
      <c r="M19" s="39" t="str">
        <f>IF(AND('Mapa final GC'!$AJ$59="Muy Alta",'Mapa final GC'!$AL$59="Leve"),CONCATENATE("R2C",'Mapa final GC'!$S$59),"")</f>
        <v/>
      </c>
      <c r="N19" s="39" t="str">
        <f>IF(AND('Mapa final GC'!$AJ$60="Muy Alta",'Mapa final GC'!$AL$60="Leve"),CONCATENATE("R2C",'Mapa final GC'!$S$60),"")</f>
        <v/>
      </c>
      <c r="O19" s="39" t="str">
        <f>IF(AND('Mapa final GC'!$AJ$61="Muy Alta",'Mapa final GC'!$AL$61="Leve"),CONCATENATE("R2C",'Mapa final GC'!$S$61),"")</f>
        <v/>
      </c>
      <c r="P19" s="40" t="str">
        <f>IF(AND('Mapa final GC'!$AJ$62="Muy Alta",'Mapa final GC'!$AL$62="Leve"),CONCATENATE("R2C",'Mapa final GC'!$S$62),"")</f>
        <v/>
      </c>
      <c r="Q19" s="39" t="str">
        <f>IF(AND('Mapa final GC'!$AJ$57="Muy Alta",'Mapa final GC'!$AL$57="Menor"),CONCATENATE("R2C",'Mapa final GC'!$S$57),"")</f>
        <v/>
      </c>
      <c r="R19" s="39" t="str">
        <f>IF(AND('Mapa final GC'!$AJ$58="Muy Alta",'Mapa final GC'!$AL$58="Menor"),CONCATENATE("R2C",'Mapa final GC'!$S$58),"")</f>
        <v/>
      </c>
      <c r="S19" s="39" t="str">
        <f>IF(AND('Mapa final GC'!$AJ$59="Muy Alta",'Mapa final GC'!$AL$59="Menor"),CONCATENATE("R2C",'Mapa final GC'!$S$59),"")</f>
        <v/>
      </c>
      <c r="T19" s="39" t="str">
        <f>IF(AND('Mapa final GC'!$AJ$60="Muy Alta",'Mapa final GC'!$AL$60="Menor"),CONCATENATE("R2C",'Mapa final GC'!$S$60),"")</f>
        <v/>
      </c>
      <c r="U19" s="39" t="str">
        <f>IF(AND('Mapa final GC'!$AJ$61="Muy Alta",'Mapa final GC'!$AL$61="Menor"),CONCATENATE("R2C",'Mapa final GC'!$S$61),"")</f>
        <v/>
      </c>
      <c r="V19" s="40" t="str">
        <f>IF(AND('Mapa final GC'!$AJ$62="Muy Alta",'Mapa final GC'!$AL$62="Menor"),CONCATENATE("R2C",'Mapa final GC'!$S$62),"")</f>
        <v/>
      </c>
      <c r="W19" s="38" t="str">
        <f>IF(AND('Mapa final GC'!$AJ$57="Muy Alta",'Mapa final GC'!$AL$57="Moderado"),CONCATENATE("R2C",'Mapa final GC'!$S$57),"")</f>
        <v/>
      </c>
      <c r="X19" s="39" t="str">
        <f>IF(AND('Mapa final GC'!$AJ$58="Muy Alta",'Mapa final GC'!$AL$58="Moderado"),CONCATENATE("R2C",'Mapa final GC'!$S$58),"")</f>
        <v/>
      </c>
      <c r="Y19" s="39" t="str">
        <f>IF(AND('Mapa final GC'!$AJ$59="Muy Alta",'Mapa final GC'!$AL$59="Moderado"),CONCATENATE("R2C",'Mapa final GC'!$S$59),"")</f>
        <v/>
      </c>
      <c r="Z19" s="39" t="str">
        <f>IF(AND('Mapa final GC'!$AJ$60="Muy Alta",'Mapa final GC'!$AL$60="Moderado"),CONCATENATE("R2C",'Mapa final GC'!$S$60),"")</f>
        <v/>
      </c>
      <c r="AA19" s="39" t="str">
        <f>IF(AND('Mapa final GC'!$AJ$61="Muy Alta",'Mapa final GC'!$AL$61="Moderado"),CONCATENATE("R2C",'Mapa final GC'!$S$61),"")</f>
        <v/>
      </c>
      <c r="AB19" s="40" t="str">
        <f>IF(AND('Mapa final GC'!$AJ$62="Muy Alta",'Mapa final GC'!$AL$62="Moderado"),CONCATENATE("R2C",'Mapa final GC'!$S$62),"")</f>
        <v/>
      </c>
      <c r="AC19" s="38" t="str">
        <f>IF(AND('Mapa final GC'!$AJ$57="Muy Alta",'Mapa final GC'!$AL$57="Mayor"),CONCATENATE("R2C",'Mapa final GC'!$S$57),"")</f>
        <v/>
      </c>
      <c r="AD19" s="39" t="str">
        <f>IF(AND('Mapa final GC'!$AJ$58="Muy Alta",'Mapa final GC'!$AL$58="Mayor"),CONCATENATE("R2C",'Mapa final GC'!$S$58),"")</f>
        <v/>
      </c>
      <c r="AE19" s="39" t="str">
        <f>IF(AND('Mapa final GC'!$AJ$59="Muy Alta",'Mapa final GC'!$AL$59="Mayor"),CONCATENATE("R2C",'Mapa final GC'!$S$59),"")</f>
        <v/>
      </c>
      <c r="AF19" s="39" t="str">
        <f>IF(AND('Mapa final GC'!$AJ$60="Muy Alta",'Mapa final GC'!$AL$60="Mayor"),CONCATENATE("R2C",'Mapa final GC'!$S$60),"")</f>
        <v/>
      </c>
      <c r="AG19" s="39" t="str">
        <f>IF(AND('Mapa final GC'!$AJ$61="Muy Alta",'Mapa final GC'!$AL$61="Mayor"),CONCATENATE("R2C",'Mapa final GC'!$S$61),"")</f>
        <v/>
      </c>
      <c r="AH19" s="40" t="str">
        <f>IF(AND('Mapa final GC'!$AJ$62="Muy Alta",'Mapa final GC'!$AL$62="Mayor"),CONCATENATE("R2C",'Mapa final GC'!$S$62),"")</f>
        <v/>
      </c>
      <c r="AI19" s="41" t="str">
        <f>IF(AND('Mapa final GC'!$AJ$57="Muy Alta",'Mapa final GC'!$AL$57="Catastrófico"),CONCATENATE("R2C",'Mapa final GC'!$S$57),"")</f>
        <v/>
      </c>
      <c r="AJ19" s="42" t="str">
        <f>IF(AND('Mapa final GC'!$AJ$58="Muy Alta",'Mapa final GC'!$AL$58="Catastrófico"),CONCATENATE("R2C",'Mapa final GC'!$S$58),"")</f>
        <v/>
      </c>
      <c r="AK19" s="42" t="str">
        <f>IF(AND('Mapa final GC'!$AJ$59="Muy Alta",'Mapa final GC'!$AL$59="Catastrófico"),CONCATENATE("R2C",'Mapa final GC'!$S$59),"")</f>
        <v/>
      </c>
      <c r="AL19" s="42" t="str">
        <f>IF(AND('Mapa final GC'!$AJ$60="Muy Alta",'Mapa final GC'!$AL$60="Catastrófico"),CONCATENATE("R2C",'Mapa final GC'!$S$60),"")</f>
        <v/>
      </c>
      <c r="AM19" s="42" t="str">
        <f>IF(AND('Mapa final GC'!$AJ$61="Muy Alta",'Mapa final GC'!$AL$61="Catastrófico"),CONCATENATE("R2C",'Mapa final GC'!$S$61),"")</f>
        <v/>
      </c>
      <c r="AN19" s="43" t="str">
        <f>IF(AND('Mapa final GC'!$AJ$62="Muy Alta",'Mapa final GC'!$AL$62="Catastrófico"),CONCATENATE("R2C",'Mapa final GC'!$S$62),"")</f>
        <v/>
      </c>
      <c r="AO19" s="69"/>
      <c r="AP19" s="797"/>
      <c r="AQ19" s="798"/>
      <c r="AR19" s="798"/>
      <c r="AS19" s="798"/>
      <c r="AT19" s="798"/>
      <c r="AU19" s="79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row>
    <row r="20" spans="2:77" ht="15" customHeight="1" x14ac:dyDescent="0.25">
      <c r="B20" s="69"/>
      <c r="C20" s="679"/>
      <c r="D20" s="679"/>
      <c r="E20" s="680"/>
      <c r="F20" s="778"/>
      <c r="G20" s="779"/>
      <c r="H20" s="779"/>
      <c r="I20" s="779"/>
      <c r="J20" s="779"/>
      <c r="K20" s="38" t="str">
        <f>IF(AND('Mapa final GC'!$AJ$63="Muy Alta",'Mapa final GC'!$AL$63="Leve"),CONCATENATE("R2C",'Mapa final GC'!$S$63),"")</f>
        <v/>
      </c>
      <c r="L20" s="39" t="str">
        <f>IF(AND('Mapa final GC'!$AJ$64="Muy Alta",'Mapa final GC'!$AL$64="Leve"),CONCATENATE("R2C",'Mapa final GC'!$S$64),"")</f>
        <v/>
      </c>
      <c r="M20" s="39" t="str">
        <f>IF(AND('Mapa final GC'!$AJ$65="Muy Alta",'Mapa final GC'!$AL$65="Leve"),CONCATENATE("R2C",'Mapa final GC'!$S$65),"")</f>
        <v/>
      </c>
      <c r="N20" s="39" t="str">
        <f>IF(AND('Mapa final GC'!$AJ$66="Muy Alta",'Mapa final GC'!$AL$66="Leve"),CONCATENATE("R2C",'Mapa final GC'!$S$66),"")</f>
        <v/>
      </c>
      <c r="O20" s="39" t="str">
        <f>IF(AND('Mapa final GC'!$AJ$67="Muy Alta",'Mapa final GC'!$AL$67="Leve"),CONCATENATE("R2C",'Mapa final GC'!$S$67),"")</f>
        <v/>
      </c>
      <c r="P20" s="40" t="str">
        <f>IF(AND('Mapa final GC'!$AJ$68="Muy Alta",'Mapa final GC'!$AL$68="Leve"),CONCATENATE("R2C",'Mapa final GC'!$S$68),"")</f>
        <v/>
      </c>
      <c r="Q20" s="39" t="str">
        <f>IF(AND('Mapa final GC'!$AJ$63="Muy Alta",'Mapa final GC'!$AL$63="Menor"),CONCATENATE("R2C",'Mapa final GC'!$S$63),"")</f>
        <v/>
      </c>
      <c r="R20" s="39" t="str">
        <f>IF(AND('Mapa final GC'!$AJ$64="Muy Alta",'Mapa final GC'!$AL$64="Menor"),CONCATENATE("R2C",'Mapa final GC'!$S$64),"")</f>
        <v/>
      </c>
      <c r="S20" s="39" t="str">
        <f>IF(AND('Mapa final GC'!$AJ$65="Muy Alta",'Mapa final GC'!$AL$65="Menor"),CONCATENATE("R2C",'Mapa final GC'!$S$65),"")</f>
        <v/>
      </c>
      <c r="T20" s="39" t="str">
        <f>IF(AND('Mapa final GC'!$AJ$66="Muy Alta",'Mapa final GC'!$AL$66="Menor"),CONCATENATE("R2C",'Mapa final GC'!$S$66),"")</f>
        <v/>
      </c>
      <c r="U20" s="39" t="str">
        <f>IF(AND('Mapa final GC'!$AJ$67="Muy Alta",'Mapa final GC'!$AL$67="Menor"),CONCATENATE("R2C",'Mapa final GC'!$S$67),"")</f>
        <v/>
      </c>
      <c r="V20" s="40" t="str">
        <f>IF(AND('Mapa final GC'!$AJ$68="Muy Alta",'Mapa final GC'!$AL$68="Menor"),CONCATENATE("R2C",'Mapa final GC'!$S$68),"")</f>
        <v/>
      </c>
      <c r="W20" s="38" t="str">
        <f>IF(AND('Mapa final GC'!$AJ$63="Muy Alta",'Mapa final GC'!$AL$63="Moderado"),CONCATENATE("R2C",'Mapa final GC'!$S$63),"")</f>
        <v/>
      </c>
      <c r="X20" s="39" t="str">
        <f>IF(AND('Mapa final GC'!$AJ$64="Muy Alta",'Mapa final GC'!$AL$64="Moderado"),CONCATENATE("R2C",'Mapa final GC'!$S$64),"")</f>
        <v/>
      </c>
      <c r="Y20" s="39" t="str">
        <f>IF(AND('Mapa final GC'!$AJ$65="Muy Alta",'Mapa final GC'!$AL$65="Moderado"),CONCATENATE("R2C",'Mapa final GC'!$S$65),"")</f>
        <v/>
      </c>
      <c r="Z20" s="39" t="str">
        <f>IF(AND('Mapa final GC'!$AJ$66="Muy Alta",'Mapa final GC'!$AL$66="Moderado"),CONCATENATE("R2C",'Mapa final GC'!$S$66),"")</f>
        <v/>
      </c>
      <c r="AA20" s="39" t="str">
        <f>IF(AND('Mapa final GC'!$AJ$67="Muy Alta",'Mapa final GC'!$AL$67="Moderado"),CONCATENATE("R2C",'Mapa final GC'!$S$67),"")</f>
        <v/>
      </c>
      <c r="AB20" s="40" t="str">
        <f>IF(AND('Mapa final GC'!$AJ$68="Muy Alta",'Mapa final GC'!$AL$68="Moderado"),CONCATENATE("R2C",'Mapa final GC'!$S$68),"")</f>
        <v/>
      </c>
      <c r="AC20" s="38" t="str">
        <f>IF(AND('Mapa final GC'!$AJ$63="Muy Alta",'Mapa final GC'!$AL$63="Mayor"),CONCATENATE("R2C",'Mapa final GC'!$S$63),"")</f>
        <v/>
      </c>
      <c r="AD20" s="39" t="str">
        <f>IF(AND('Mapa final GC'!$AJ$64="Muy Alta",'Mapa final GC'!$AL$64="Mayor"),CONCATENATE("R2C",'Mapa final GC'!$S$64),"")</f>
        <v/>
      </c>
      <c r="AE20" s="39" t="str">
        <f>IF(AND('Mapa final GC'!$AJ$65="Muy Alta",'Mapa final GC'!$AL$65="Mayor"),CONCATENATE("R2C",'Mapa final GC'!$S$65),"")</f>
        <v/>
      </c>
      <c r="AF20" s="39" t="str">
        <f>IF(AND('Mapa final GC'!$AJ$66="Muy Alta",'Mapa final GC'!$AL$66="Mayor"),CONCATENATE("R2C",'Mapa final GC'!$S$66),"")</f>
        <v/>
      </c>
      <c r="AG20" s="39" t="str">
        <f>IF(AND('Mapa final GC'!$AJ$67="Muy Alta",'Mapa final GC'!$AL$67="Mayor"),CONCATENATE("R2C",'Mapa final GC'!$S$67),"")</f>
        <v/>
      </c>
      <c r="AH20" s="40" t="str">
        <f>IF(AND('Mapa final GC'!$AJ$68="Muy Alta",'Mapa final GC'!$AL$68="Mayor"),CONCATENATE("R2C",'Mapa final GC'!$S$68),"")</f>
        <v/>
      </c>
      <c r="AI20" s="41" t="str">
        <f>IF(AND('Mapa final GC'!$AJ$63="Muy Alta",'Mapa final GC'!$AL$63="Catastrófico"),CONCATENATE("R2C",'Mapa final GC'!$S$63),"")</f>
        <v/>
      </c>
      <c r="AJ20" s="42" t="str">
        <f>IF(AND('Mapa final GC'!$AJ$64="Muy Alta",'Mapa final GC'!$AL$64="Catastrófico"),CONCATENATE("R2C",'Mapa final GC'!$S$64),"")</f>
        <v/>
      </c>
      <c r="AK20" s="42" t="str">
        <f>IF(AND('Mapa final GC'!$AJ$65="Muy Alta",'Mapa final GC'!$AL$65="Catastrófico"),CONCATENATE("R2C",'Mapa final GC'!$S$65),"")</f>
        <v/>
      </c>
      <c r="AL20" s="42" t="str">
        <f>IF(AND('Mapa final GC'!$AJ$66="Muy Alta",'Mapa final GC'!$AL$66="Catastrófico"),CONCATENATE("R2C",'Mapa final GC'!$S$66),"")</f>
        <v/>
      </c>
      <c r="AM20" s="42" t="str">
        <f>IF(AND('Mapa final GC'!$AJ$67="Muy Alta",'Mapa final GC'!$AL$67="Catastrófico"),CONCATENATE("R2C",'Mapa final GC'!$S$67),"")</f>
        <v/>
      </c>
      <c r="AN20" s="43" t="str">
        <f>IF(AND('Mapa final GC'!$AJ$68="Muy Alta",'Mapa final GC'!$AL$68="Catastrófico"),CONCATENATE("R2C",'Mapa final GC'!$S$68),"")</f>
        <v/>
      </c>
      <c r="AO20" s="69"/>
      <c r="AP20" s="797"/>
      <c r="AQ20" s="798"/>
      <c r="AR20" s="798"/>
      <c r="AS20" s="798"/>
      <c r="AT20" s="798"/>
      <c r="AU20" s="79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2:77" ht="15.75" customHeight="1" thickBot="1" x14ac:dyDescent="0.3">
      <c r="B21" s="69"/>
      <c r="C21" s="679"/>
      <c r="D21" s="679"/>
      <c r="E21" s="680"/>
      <c r="F21" s="781"/>
      <c r="G21" s="782"/>
      <c r="H21" s="782"/>
      <c r="I21" s="782"/>
      <c r="J21" s="782"/>
      <c r="K21" s="44" t="str">
        <f>IF(AND('Mapa final GC'!$AJ$69="Muy Alta",'Mapa final GC'!$AL$69="Leve"),CONCATENATE("R2C",'Mapa final GC'!$S$69),"")</f>
        <v/>
      </c>
      <c r="L21" s="45" t="str">
        <f>IF(AND('Mapa final GC'!$AJ$70="Muy Alta",'Mapa final GC'!$AL$70="Leve"),CONCATENATE("R2C",'Mapa final GC'!$S$70),"")</f>
        <v/>
      </c>
      <c r="M21" s="45" t="str">
        <f>IF(AND('Mapa final GC'!$AJ$71="Muy Alta",'Mapa final GC'!$AL$71="Leve"),CONCATENATE("R2C",'Mapa final GC'!$S$71),"")</f>
        <v/>
      </c>
      <c r="N21" s="45" t="str">
        <f>IF(AND('Mapa final GC'!$AJ$72="Muy Alta",'Mapa final GC'!$AL$72="Leve"),CONCATENATE("R2C",'Mapa final GC'!$S$72),"")</f>
        <v/>
      </c>
      <c r="O21" s="45" t="str">
        <f>IF(AND('Mapa final GC'!$AJ$74="Muy Alta",'Mapa final GC'!$AL$74="Leve"),CONCATENATE("R2C",'Mapa final GC'!$S$74),"")</f>
        <v/>
      </c>
      <c r="P21" s="46" t="str">
        <f>IF(AND('Mapa final GC'!$AJ$75="Muy Alta",'Mapa final GC'!$AL$75="Leve"),CONCATENATE("R2C",'Mapa final GC'!$S$75),"")</f>
        <v/>
      </c>
      <c r="Q21" s="39" t="str">
        <f>IF(AND('Mapa final GC'!$AJ$69="Muy Alta",'Mapa final GC'!$AL$69="Menor"),CONCATENATE("R2C",'Mapa final GC'!$S$69),"")</f>
        <v/>
      </c>
      <c r="R21" s="39" t="str">
        <f>IF(AND('Mapa final GC'!$AJ$70="Muy Alta",'Mapa final GC'!$AL$70="Menor"),CONCATENATE("R2C",'Mapa final GC'!$S$70),"")</f>
        <v/>
      </c>
      <c r="S21" s="39" t="str">
        <f>IF(AND('Mapa final GC'!$AJ$71="Muy Alta",'Mapa final GC'!$AL$71="Menor"),CONCATENATE("R2C",'Mapa final GC'!$S$71),"")</f>
        <v/>
      </c>
      <c r="T21" s="39" t="str">
        <f>IF(AND('Mapa final GC'!$AJ$72="Muy Alta",'Mapa final GC'!$AL$72="Menor"),CONCATENATE("R2C",'Mapa final GC'!$S$72),"")</f>
        <v/>
      </c>
      <c r="U21" s="39" t="str">
        <f>IF(AND('Mapa final GC'!$AJ$74="Muy Alta",'Mapa final GC'!$AL$74="Menor"),CONCATENATE("R2C",'Mapa final GC'!$S$74),"")</f>
        <v/>
      </c>
      <c r="V21" s="40" t="str">
        <f>IF(AND('Mapa final GC'!$AJ$75="Muy Alta",'Mapa final GC'!$AL$75="Menor"),CONCATENATE("R2C",'Mapa final GC'!$S$75),"")</f>
        <v/>
      </c>
      <c r="W21" s="44" t="str">
        <f>IF(AND('Mapa final GC'!$AJ$69="Muy Alta",'Mapa final GC'!$AL$69="Moderado"),CONCATENATE("R2C",'Mapa final GC'!$S$69),"")</f>
        <v/>
      </c>
      <c r="X21" s="45" t="str">
        <f>IF(AND('Mapa final GC'!$AJ$70="Muy Alta",'Mapa final GC'!$AL$70="Moderado"),CONCATENATE("R2C",'Mapa final GC'!$S$70),"")</f>
        <v/>
      </c>
      <c r="Y21" s="45" t="str">
        <f>IF(AND('Mapa final GC'!$AJ$71="Muy Alta",'Mapa final GC'!$AL$71="Moderado"),CONCATENATE("R2C",'Mapa final GC'!$S$71),"")</f>
        <v/>
      </c>
      <c r="Z21" s="45" t="str">
        <f>IF(AND('Mapa final GC'!$AJ$72="Muy Alta",'Mapa final GC'!$AL$72="Moderado"),CONCATENATE("R2C",'Mapa final GC'!$S$72),"")</f>
        <v/>
      </c>
      <c r="AA21" s="45" t="str">
        <f>IF(AND('Mapa final GC'!$AJ$74="Muy Alta",'Mapa final GC'!$AL$74="Moderado"),CONCATENATE("R2C",'Mapa final GC'!$S$74),"")</f>
        <v/>
      </c>
      <c r="AB21" s="46" t="str">
        <f>IF(AND('Mapa final GC'!$AJ$75="Muy Alta",'Mapa final GC'!$AL$75="Moderado"),CONCATENATE("R2C",'Mapa final GC'!$S$75),"")</f>
        <v/>
      </c>
      <c r="AC21" s="38" t="str">
        <f>IF(AND('Mapa final GC'!$AJ$69="Muy Alta",'Mapa final GC'!$AL$69="Mayor"),CONCATENATE("R2C",'Mapa final GC'!$S$69),"")</f>
        <v/>
      </c>
      <c r="AD21" s="39" t="str">
        <f>IF(AND('Mapa final GC'!$AJ$70="Muy Alta",'Mapa final GC'!$AL$70="Mayor"),CONCATENATE("R2C",'Mapa final GC'!$S$70),"")</f>
        <v/>
      </c>
      <c r="AE21" s="39" t="str">
        <f>IF(AND('Mapa final GC'!$AJ$71="Muy Alta",'Mapa final GC'!$AL$71="Mayor"),CONCATENATE("R2C",'Mapa final GC'!$S$71),"")</f>
        <v/>
      </c>
      <c r="AF21" s="39" t="str">
        <f>IF(AND('Mapa final GC'!$AJ$72="Muy Alta",'Mapa final GC'!$AL$72="Mayor"),CONCATENATE("R2C",'Mapa final GC'!$S$72),"")</f>
        <v/>
      </c>
      <c r="AG21" s="39" t="str">
        <f>IF(AND('Mapa final GC'!$AJ$74="Muy Alta",'Mapa final GC'!$AL$74="Mayor"),CONCATENATE("R2C",'Mapa final GC'!$S$74),"")</f>
        <v/>
      </c>
      <c r="AH21" s="40" t="str">
        <f>IF(AND('Mapa final GC'!$AJ$75="Muy Alta",'Mapa final GC'!$AL$75="Mayor"),CONCATENATE("R2C",'Mapa final GC'!$S$75),"")</f>
        <v/>
      </c>
      <c r="AI21" s="47" t="str">
        <f>IF(AND('Mapa final GC'!$AJ$69="Muy Alta",'Mapa final GC'!$AL$69="Catastrófico"),CONCATENATE("R2C",'Mapa final GC'!$S$69),"")</f>
        <v/>
      </c>
      <c r="AJ21" s="48" t="str">
        <f>IF(AND('Mapa final GC'!$AJ$70="Muy Alta",'Mapa final GC'!$AL$70="Catastrófico"),CONCATENATE("R2C",'Mapa final GC'!$S$70),"")</f>
        <v/>
      </c>
      <c r="AK21" s="48" t="str">
        <f>IF(AND('Mapa final GC'!$AJ$71="Muy Alta",'Mapa final GC'!$AL$71="Catastrófico"),CONCATENATE("R2C",'Mapa final GC'!$S$71),"")</f>
        <v/>
      </c>
      <c r="AL21" s="48" t="str">
        <f>IF(AND('Mapa final GC'!$AJ$72="Muy Alta",'Mapa final GC'!$AL$72="Catastrófico"),CONCATENATE("R2C",'Mapa final GC'!$S$72),"")</f>
        <v/>
      </c>
      <c r="AM21" s="48" t="str">
        <f>IF(AND('Mapa final GC'!$AJ$74="Muy Alta",'Mapa final GC'!$AL$74="Catastrófico"),CONCATENATE("R2C",'Mapa final GC'!$S$74),"")</f>
        <v/>
      </c>
      <c r="AN21" s="49" t="str">
        <f>IF(AND('Mapa final GC'!$AJ$75="Muy Alta",'Mapa final GC'!$AL$75="Catastrófico"),CONCATENATE("R2C",'Mapa final GC'!$S$75),"")</f>
        <v/>
      </c>
      <c r="AO21" s="69"/>
      <c r="AP21" s="800"/>
      <c r="AQ21" s="801"/>
      <c r="AR21" s="801"/>
      <c r="AS21" s="801"/>
      <c r="AT21" s="801"/>
      <c r="AU21" s="802"/>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row>
    <row r="22" spans="2:77" ht="15" customHeight="1" x14ac:dyDescent="0.25">
      <c r="B22" s="69"/>
      <c r="C22" s="679"/>
      <c r="D22" s="679"/>
      <c r="E22" s="680"/>
      <c r="F22" s="775" t="s">
        <v>113</v>
      </c>
      <c r="G22" s="776"/>
      <c r="H22" s="776"/>
      <c r="I22" s="776"/>
      <c r="J22" s="776"/>
      <c r="K22" s="53" t="str">
        <f>IF(AND('Mapa final GC'!$AJ$15="Alta",'Mapa final GC'!$AL$15="Leve"),CONCATENATE("R2C",'Mapa final GC'!$S$15),"")</f>
        <v/>
      </c>
      <c r="L22" s="54" t="str">
        <f>IF(AND('Mapa final GC'!$AJ$16="Alta",'Mapa final GC'!$AL$16="Leve"),CONCATENATE("R2C",'Mapa final GC'!$S$16),"")</f>
        <v/>
      </c>
      <c r="M22" s="54" t="str">
        <f>IF(AND('Mapa final GC'!$AJ$17="Alta",'Mapa final GC'!$AL$17="Leve"),CONCATENATE("R2C",'Mapa final GC'!$S$17),"")</f>
        <v/>
      </c>
      <c r="N22" s="54" t="str">
        <f>IF(AND('Mapa final GC'!$AJ$19="Alta",'Mapa final GC'!$AL$19="Leve"),CONCATENATE("R2C",'Mapa final GC'!$S$19),"")</f>
        <v/>
      </c>
      <c r="O22" s="54" t="str">
        <f>IF(AND('Mapa final GC'!$AJ$20="Alta",'Mapa final GC'!$AL$20="Leve"),CONCATENATE("R2C",'Mapa final GC'!$S$20),"")</f>
        <v/>
      </c>
      <c r="P22" s="55" t="e">
        <f>IF(AND('Mapa final GC'!#REF!="Alta",'Mapa final GC'!#REF!="Leve"),CONCATENATE("R2C",'Mapa final GC'!#REF!),"")</f>
        <v>#REF!</v>
      </c>
      <c r="Q22" s="50" t="str">
        <f>IF(AND('Mapa final GC'!$AJ$15="Alta",'Mapa final GC'!$AL$15="Menor"),CONCATENATE("R2C",'Mapa final GC'!$S$15),"")</f>
        <v/>
      </c>
      <c r="R22" s="51" t="str">
        <f>IF(AND('Mapa final GC'!$AJ$16="Alta",'Mapa final GC'!$AL$16="Menore"),CONCATENATE("R2C",'Mapa final GC'!$S$16),"")</f>
        <v/>
      </c>
      <c r="S22" s="51" t="str">
        <f>IF(AND('Mapa final GC'!$AJ$17="Alta",'Mapa final GC'!$AL$17="Menor"),CONCATENATE("R2C",'Mapa final GC'!$S$17),"")</f>
        <v/>
      </c>
      <c r="T22" s="51" t="str">
        <f>IF(AND('Mapa final GC'!$AJ$19="Alta",'Mapa final GC'!$AL$19="Menor"),CONCATENATE("R2C",'Mapa final GC'!$S$19),"")</f>
        <v/>
      </c>
      <c r="U22" s="51" t="str">
        <f>IF(AND('Mapa final GC'!$AJ$20="Alta",'Mapa final GC'!$AL$20="Menor"),CONCATENATE("R2C",'Mapa final GC'!$S$20),"")</f>
        <v/>
      </c>
      <c r="V22" s="52" t="e">
        <f>IF(AND('Mapa final GC'!#REF!="Alta",'Mapa final GC'!#REF!="Menor"),CONCATENATE("R2C",'Mapa final GC'!#REF!),"")</f>
        <v>#REF!</v>
      </c>
      <c r="W22" s="32" t="str">
        <f>IF(AND('Mapa final GC'!$AJ$15="Alta",'Mapa final GC'!$AL$15="Moderado"),CONCATENATE("R2C",'Mapa final GC'!$S$15),"")</f>
        <v/>
      </c>
      <c r="X22" s="33" t="str">
        <f>IF(AND('Mapa final GC'!$AJ$16="Alta",'Mapa final GC'!$AL$16="Moderado"),CONCATENATE("R2C",'Mapa final GC'!$S$16),"")</f>
        <v/>
      </c>
      <c r="Y22" s="33"/>
      <c r="Z22" s="33" t="str">
        <f>IF(AND('Mapa final GC'!$AJ$19="Alta",'Mapa final GC'!$AL$19="Moderado"),CONCATENATE("R2C",'Mapa final GC'!$S$19),"")</f>
        <v/>
      </c>
      <c r="AA22" s="33" t="str">
        <f>IF(AND('Mapa final GC'!$AJ$20="Alta",'Mapa final GC'!$AL$20="Moderado"),CONCATENATE("R2C",'Mapa final GC'!$S$20),"")</f>
        <v/>
      </c>
      <c r="AB22" s="34" t="e">
        <f>IF(AND('Mapa final GC'!#REF!="Alta",'Mapa final GC'!#REF!="Moderado"),CONCATENATE("R2C",'Mapa final GC'!#REF!),"")</f>
        <v>#REF!</v>
      </c>
      <c r="AC22" s="32" t="str">
        <f>IF(AND('Mapa final GC'!$AJ$15="Alta",'Mapa final GC'!$AL$15="Mayor"),CONCATENATE("R2C",'Mapa final GC'!$S$15),"")</f>
        <v/>
      </c>
      <c r="AD22" s="33" t="str">
        <f>IF(AND('Mapa final GC'!$AJ$16="Alta",'Mapa final GC'!$AL$16="Mayor"),CONCATENATE("R2C",'Mapa final GC'!$S$16),"")</f>
        <v/>
      </c>
      <c r="AE22" s="33" t="str">
        <f>IF(AND('Mapa final GC'!$AJ$17="Alta",'Mapa final GC'!$AL$17="Mayor"),CONCATENATE("R2C",'Mapa final GC'!$S$17),"")</f>
        <v/>
      </c>
      <c r="AF22" s="33" t="str">
        <f>IF(AND('Mapa final GC'!$AJ$19="Alta",'Mapa final GC'!$AL$19="Mayor"),CONCATENATE("R2C",'Mapa final GC'!$S$19),"")</f>
        <v/>
      </c>
      <c r="AG22" s="33" t="str">
        <f>IF(AND('Mapa final GC'!$AJ$20="Alta",'Mapa final GC'!$AL$20="Mayor"),CONCATENATE("R2C",'Mapa final GC'!$S$20),"")</f>
        <v/>
      </c>
      <c r="AH22" s="34" t="e">
        <f>IF(AND('Mapa final GC'!#REF!="Alta",'Mapa final GC'!#REF!="Mayor"),CONCATENATE("R2C",'Mapa final GC'!#REF!),"")</f>
        <v>#REF!</v>
      </c>
      <c r="AI22" s="35" t="str">
        <f>IF(AND('Mapa final GC'!$AJ$15="Alta",'Mapa final GC'!$AL$15="Catastrófico"),CONCATENATE("R2C",'Mapa final GC'!$S$15),"")</f>
        <v/>
      </c>
      <c r="AJ22" s="36" t="str">
        <f>IF(AND('Mapa final GC'!$AJ$16="Alta",'Mapa final GC'!$AL$16="Catastrófico"),CONCATENATE("R2C",'Mapa final GC'!$S$16),"")</f>
        <v/>
      </c>
      <c r="AK22" s="36" t="str">
        <f>IF(AND('Mapa final GC'!$AJ$17="Alta",'Mapa final GC'!$AL$17="Catastrófico"),CONCATENATE("R2C",'Mapa final GC'!$S$17),"")</f>
        <v/>
      </c>
      <c r="AL22" s="36" t="str">
        <f>IF(AND('Mapa final GC'!$AJ$19="Alta",'Mapa final GC'!$AL$19="Catastrófico"),CONCATENATE("R2C",'Mapa final GC'!$S$19),"")</f>
        <v/>
      </c>
      <c r="AM22" s="36" t="str">
        <f>IF(AND('Mapa final GC'!$AJ$20="Alta",'Mapa final GC'!$AL$20="Catastrófico"),CONCATENATE("R2C",'Mapa final GC'!$S$20),"")</f>
        <v/>
      </c>
      <c r="AN22" s="37" t="e">
        <f>IF(AND('Mapa final GC'!#REF!="Alta",'Mapa final GC'!#REF!="Catastrófico"),CONCATENATE("R2C",'Mapa final GC'!#REF!),"")</f>
        <v>#REF!</v>
      </c>
      <c r="AO22" s="69"/>
      <c r="AP22" s="784" t="s">
        <v>78</v>
      </c>
      <c r="AQ22" s="785"/>
      <c r="AR22" s="785"/>
      <c r="AS22" s="785"/>
      <c r="AT22" s="785"/>
      <c r="AU22" s="786"/>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row>
    <row r="23" spans="2:77" ht="15" customHeight="1" x14ac:dyDescent="0.25">
      <c r="B23" s="69"/>
      <c r="C23" s="679"/>
      <c r="D23" s="679"/>
      <c r="E23" s="680"/>
      <c r="F23" s="793"/>
      <c r="G23" s="779"/>
      <c r="H23" s="779"/>
      <c r="I23" s="779"/>
      <c r="J23" s="779"/>
      <c r="K23" s="53" t="str">
        <f>IF(AND('Mapa final GC'!$AJ$21="Alta",'Mapa final GC'!$AL$21="Leve"),CONCATENATE("R2C",'Mapa final GC'!$S$21),"")</f>
        <v/>
      </c>
      <c r="L23" s="54" t="str">
        <f>IF(AND('Mapa final GC'!$AJ$22="Alta",'Mapa final GC'!$AL$22="Leve"),CONCATENATE("R2C",'Mapa final GC'!$S$22),"")</f>
        <v/>
      </c>
      <c r="M23" s="54" t="str">
        <f>IF(AND('Mapa final GC'!$AJ$23="Alta",'Mapa final GC'!$AL$23="Leve"),CONCATENATE("R2C",'Mapa final GC'!$S$23),"")</f>
        <v/>
      </c>
      <c r="N23" s="54" t="str">
        <f>IF(AND('Mapa final GC'!$AJ$24="Alta",'Mapa final GC'!$AL$24="Leve"),CONCATENATE("R2C",'Mapa final GC'!$S$24),"")</f>
        <v/>
      </c>
      <c r="O23" s="54" t="str">
        <f>IF(AND('Mapa final GC'!$AJ$25="Alta",'Mapa final GC'!$AL$25="Leve"),CONCATENATE("R2C",'Mapa final GC'!$S$25),"")</f>
        <v/>
      </c>
      <c r="P23" s="55" t="str">
        <f>IF(AND('Mapa final GC'!$AJ$26="Alta",'Mapa final GC'!$AL$26="Leve"),CONCATENATE("R2C",'Mapa final GC'!$S$26),"")</f>
        <v/>
      </c>
      <c r="Q23" s="53" t="str">
        <f>IF(AND('Mapa final GC'!$AJ$21="Alta",'Mapa final GC'!$AL$21="Menor"),CONCATENATE("R2C",'Mapa final GC'!$S$21),"")</f>
        <v/>
      </c>
      <c r="R23" s="54" t="str">
        <f>IF(AND('Mapa final GC'!$AJ$22="Alta",'Mapa final GC'!$AL$22="Menor"),CONCATENATE("R2C",'Mapa final GC'!$S$22),"")</f>
        <v/>
      </c>
      <c r="S23" s="54" t="str">
        <f>IF(AND('Mapa final GC'!$AJ$23="Alta",'Mapa final GC'!$AL$23="Menor"),CONCATENATE("R2C",'Mapa final GC'!$S$23),"")</f>
        <v/>
      </c>
      <c r="T23" s="54" t="str">
        <f>IF(AND('Mapa final GC'!$AJ$24="Alta",'Mapa final GC'!$AL$24="Menor"),CONCATENATE("R2C",'Mapa final GC'!$S$24),"")</f>
        <v/>
      </c>
      <c r="U23" s="54" t="str">
        <f>IF(AND('Mapa final GC'!$AJ$25="Alta",'Mapa final GC'!$AL$25="Menor"),CONCATENATE("R2C",'Mapa final GC'!$S$25),"")</f>
        <v/>
      </c>
      <c r="V23" s="55" t="str">
        <f>IF(AND('Mapa final GC'!$AJ$26="Alta",'Mapa final GC'!$AL$26="Menor"),CONCATENATE("R2C",'Mapa final GC'!$S$26),"")</f>
        <v/>
      </c>
      <c r="W23" s="38" t="str">
        <f>IF(AND('Mapa final GC'!$AJ$21="Alta",'Mapa final GC'!$AL$21="Moderado"),CONCATENATE("R2C",'Mapa final GC'!$S$21),"")</f>
        <v/>
      </c>
      <c r="X23" s="39" t="str">
        <f>IF(AND('Mapa final GC'!$AJ$22="Alta",'Mapa final GC'!$AL$22="Moderado"),CONCATENATE("R2C",'Mapa final GC'!$S$22),"")</f>
        <v/>
      </c>
      <c r="Y23" s="39" t="str">
        <f>IF(AND('Mapa final GC'!$AJ$23="Alta",'Mapa final GC'!$AL$23="Moderado"),CONCATENATE("R2C",'Mapa final GC'!$S$23),"")</f>
        <v/>
      </c>
      <c r="Z23" s="39" t="str">
        <f>IF(AND('Mapa final GC'!$AJ$24="Alta",'Mapa final GC'!$AL$24="Moderado"),CONCATENATE("R2C",'Mapa final GC'!$S$24),"")</f>
        <v/>
      </c>
      <c r="AA23" s="39" t="str">
        <f>IF(AND('Mapa final GC'!$AJ$25="Alta",'Mapa final GC'!$AL$25="Moderado"),CONCATENATE("R2C",'Mapa final GC'!$S$25),"")</f>
        <v/>
      </c>
      <c r="AB23" s="40" t="str">
        <f>IF(AND('Mapa final GC'!$AJ$26="Alta",'Mapa final GC'!$AL$26="Moderado"),CONCATENATE("R2C",'Mapa final GC'!$S$26),"")</f>
        <v/>
      </c>
      <c r="AC23" s="38" t="str">
        <f>IF(AND('Mapa final GC'!$AJ$21="Alta",'Mapa final GC'!$AL$21="Mayor"),CONCATENATE("R2C",'Mapa final GC'!$S$21),"")</f>
        <v/>
      </c>
      <c r="AD23" s="39" t="str">
        <f>IF(AND('Mapa final GC'!$AJ$22="Alta",'Mapa final GC'!$AL$22="Mayor"),CONCATENATE("R2C",'Mapa final GC'!$S$22),"")</f>
        <v/>
      </c>
      <c r="AE23" s="39" t="str">
        <f>IF(AND('Mapa final GC'!$AJ$23="Alta",'Mapa final GC'!$AL$23="Mayor"),CONCATENATE("R2C",'Mapa final GC'!$S$23),"")</f>
        <v/>
      </c>
      <c r="AF23" s="39" t="str">
        <f>IF(AND('Mapa final GC'!$AJ$24="Alta",'Mapa final GC'!$AL$24="Mayor"),CONCATENATE("R2C",'Mapa final GC'!$S$24),"")</f>
        <v/>
      </c>
      <c r="AG23" s="39" t="str">
        <f>IF(AND('Mapa final GC'!$AJ$25="Alta",'Mapa final GC'!$AL$25="Mayor"),CONCATENATE("R2C",'Mapa final GC'!$S$25),"")</f>
        <v/>
      </c>
      <c r="AH23" s="40" t="str">
        <f>IF(AND('Mapa final GC'!$AJ$26="Alta",'Mapa final GC'!$AL$26="Mayor"),CONCATENATE("R2C",'Mapa final GC'!$S$26),"")</f>
        <v/>
      </c>
      <c r="AI23" s="41" t="str">
        <f>IF(AND('Mapa final GC'!$AJ$21="Alta",'Mapa final GC'!$AL$21="Catastrófico"),CONCATENATE("R2C",'Mapa final GC'!$S$21),"")</f>
        <v/>
      </c>
      <c r="AJ23" s="42" t="str">
        <f>IF(AND('Mapa final GC'!$AJ$22="Alta",'Mapa final GC'!$AL$22="Catastrófico"),CONCATENATE("R2C",'Mapa final GC'!$S$22),"")</f>
        <v/>
      </c>
      <c r="AK23" s="42" t="str">
        <f>IF(AND('Mapa final GC'!$AJ$23="Alta",'Mapa final GC'!$AL$23="Catastrófico"),CONCATENATE("R2C",'Mapa final GC'!$S$23),"")</f>
        <v/>
      </c>
      <c r="AL23" s="42" t="str">
        <f>IF(AND('Mapa final GC'!$AJ$24="Alta",'Mapa final GC'!$AL$24="Catastrófico"),CONCATENATE("R2C",'Mapa final GC'!$S$24),"")</f>
        <v/>
      </c>
      <c r="AM23" s="42" t="str">
        <f>IF(AND('Mapa final GC'!$AJ$25="Alta",'Mapa final GC'!$AL$25="Catastrófico"),CONCATENATE("R2C",'Mapa final GC'!$S$25),"")</f>
        <v/>
      </c>
      <c r="AN23" s="43" t="str">
        <f>IF(AND('Mapa final GC'!$AJ$26="Alta",'Mapa final GC'!$AL$26="Catastrófico"),CONCATENATE("R2C",'Mapa final GC'!$S$26),"")</f>
        <v/>
      </c>
      <c r="AO23" s="69"/>
      <c r="AP23" s="787"/>
      <c r="AQ23" s="788"/>
      <c r="AR23" s="788"/>
      <c r="AS23" s="788"/>
      <c r="AT23" s="788"/>
      <c r="AU23" s="78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2:77" ht="15" customHeight="1" x14ac:dyDescent="0.25">
      <c r="B24" s="69"/>
      <c r="C24" s="679"/>
      <c r="D24" s="679"/>
      <c r="E24" s="680"/>
      <c r="F24" s="778"/>
      <c r="G24" s="779"/>
      <c r="H24" s="779"/>
      <c r="I24" s="779"/>
      <c r="J24" s="779"/>
      <c r="K24" s="53" t="str">
        <f>IF(AND('Mapa final GC'!$AJ$27="Alta",'Mapa final GC'!$AL$27="Leve"),CONCATENATE("R2C",'Mapa final GC'!$S$27),"")</f>
        <v/>
      </c>
      <c r="L24" s="54" t="str">
        <f>IF(AND('Mapa final GC'!$AJ$28="Alta",'Mapa final GC'!$AL$28="Leve"),CONCATENATE("R2C",'Mapa final GC'!$S$28),"")</f>
        <v/>
      </c>
      <c r="M24" s="54" t="str">
        <f>IF(AND('Mapa final GC'!$AJ$29="Alta",'Mapa final GC'!$AL$29="Leve"),CONCATENATE("R2C",'Mapa final GC'!$S$29),"")</f>
        <v/>
      </c>
      <c r="N24" s="54" t="str">
        <f>IF(AND('Mapa final GC'!$AJ$30="Alta",'Mapa final GC'!$AL$30="Leve"),CONCATENATE("R2C",'Mapa final GC'!$S$30),"")</f>
        <v/>
      </c>
      <c r="O24" s="54" t="str">
        <f>IF(AND('Mapa final GC'!$AJ$31="Alta",'Mapa final GC'!$AL$31="Leve"),CONCATENATE("R2C",'Mapa final GC'!$S$31),"")</f>
        <v/>
      </c>
      <c r="P24" s="55" t="str">
        <f>IF(AND('Mapa final GC'!$AJ$32="Alta",'Mapa final GC'!$AL$32="Leve"),CONCATENATE("R2C",'Mapa final GC'!$S$32),"")</f>
        <v/>
      </c>
      <c r="Q24" s="53" t="str">
        <f>IF(AND('Mapa final GC'!$AJ$27="Alta",'Mapa final GC'!$AL$27="Menor"),CONCATENATE("R2C",'Mapa final GC'!$S$27),"")</f>
        <v/>
      </c>
      <c r="R24" s="54" t="str">
        <f>IF(AND('Mapa final GC'!$AJ$28="Alta",'Mapa final GC'!$AL$28="Menor"),CONCATENATE("R2C",'Mapa final GC'!$S$28),"")</f>
        <v/>
      </c>
      <c r="S24" s="54" t="str">
        <f>IF(AND('Mapa final GC'!$AJ$29="Alta",'Mapa final GC'!$AL$29="Menor"),CONCATENATE("R2C",'Mapa final GC'!$S$29),"")</f>
        <v/>
      </c>
      <c r="T24" s="54" t="str">
        <f>IF(AND('Mapa final GC'!$AJ$30="Alta",'Mapa final GC'!$AL$30="Menor"),CONCATENATE("R2C",'Mapa final GC'!$S$30),"")</f>
        <v/>
      </c>
      <c r="U24" s="54" t="str">
        <f>IF(AND('Mapa final GC'!$AJ$31="Alta",'Mapa final GC'!$AL$31="Menor"),CONCATENATE("R2C",'Mapa final GC'!$S$31),"")</f>
        <v/>
      </c>
      <c r="V24" s="55" t="str">
        <f>IF(AND('Mapa final GC'!$AJ$32="Alta",'Mapa final GC'!$AL$32="Menor"),CONCATENATE("R2C",'Mapa final GC'!$S$32),"")</f>
        <v/>
      </c>
      <c r="W24" s="38" t="str">
        <f>IF(AND('Mapa final GC'!$AJ$27="Alta",'Mapa final GC'!$AL$27="Moderado"),CONCATENATE("R2C",'Mapa final GC'!$S$27),"")</f>
        <v/>
      </c>
      <c r="X24" s="39" t="str">
        <f>IF(AND('Mapa final GC'!$AJ$28="Alta",'Mapa final GC'!$AL$28="Moderado"),CONCATENATE("R2C",'Mapa final GC'!$S$28),"")</f>
        <v/>
      </c>
      <c r="Y24" s="39" t="str">
        <f>IF(AND('Mapa final GC'!$AJ$29="Alta",'Mapa final GC'!$AL$29="Moderado"),CONCATENATE("R2C",'Mapa final GC'!$S$29),"")</f>
        <v/>
      </c>
      <c r="Z24" s="39" t="str">
        <f>IF(AND('Mapa final GC'!$AJ$30="Alta",'Mapa final GC'!$AL$30="Moderado"),CONCATENATE("R2C",'Mapa final GC'!$S$30),"")</f>
        <v/>
      </c>
      <c r="AA24" s="39" t="str">
        <f>IF(AND('Mapa final GC'!$AJ$31="Alta",'Mapa final GC'!$AL$31="Moderado"),CONCATENATE("R2C",'Mapa final GC'!$S$31),"")</f>
        <v/>
      </c>
      <c r="AB24" s="40" t="str">
        <f>IF(AND('Mapa final GC'!$AJ$32="Alta",'Mapa final GC'!$AL$32="Moderado"),CONCATENATE("R2C",'Mapa final GC'!$S$32),"")</f>
        <v/>
      </c>
      <c r="AC24" s="38" t="str">
        <f>IF(AND('Mapa final GC'!$AJ$27="Alta",'Mapa final GC'!$AL$27="Mayor"),CONCATENATE("R2C",'Mapa final GC'!$S$27),"")</f>
        <v/>
      </c>
      <c r="AD24" s="39" t="str">
        <f>IF(AND('Mapa final GC'!$AJ$28="Alta",'Mapa final GC'!$AL$28="Mayor"),CONCATENATE("R2C",'Mapa final GC'!$S$28),"")</f>
        <v/>
      </c>
      <c r="AE24" s="39" t="str">
        <f>IF(AND('Mapa final GC'!$AJ$29="Alta",'Mapa final GC'!$AL$29="Mayor"),CONCATENATE("R2C",'Mapa final GC'!$S$29),"")</f>
        <v/>
      </c>
      <c r="AF24" s="39" t="str">
        <f>IF(AND('Mapa final GC'!$AJ$30="Alta",'Mapa final GC'!$AL$30="Mayor"),CONCATENATE("R2C",'Mapa final GC'!$S$30),"")</f>
        <v/>
      </c>
      <c r="AG24" s="39" t="str">
        <f>IF(AND('Mapa final GC'!$AJ$31="Alta",'Mapa final GC'!$AL$31="Mayor"),CONCATENATE("R2C",'Mapa final GC'!$S$31),"")</f>
        <v/>
      </c>
      <c r="AH24" s="40" t="str">
        <f>IF(AND('Mapa final GC'!$AJ$32="Alta",'Mapa final GC'!$AL$32="Mayor"),CONCATENATE("R2C",'Mapa final GC'!$S$32),"")</f>
        <v/>
      </c>
      <c r="AI24" s="41" t="str">
        <f>IF(AND('Mapa final GC'!$AJ$27="Alta",'Mapa final GC'!$AL$27="Catastrófico"),CONCATENATE("R2C",'Mapa final GC'!$S$27),"")</f>
        <v/>
      </c>
      <c r="AJ24" s="42" t="str">
        <f>IF(AND('Mapa final GC'!$AJ$28="Alta",'Mapa final GC'!$AL$28="Catastrófico"),CONCATENATE("R2C",'Mapa final GC'!$S$28),"")</f>
        <v/>
      </c>
      <c r="AK24" s="42" t="str">
        <f>IF(AND('Mapa final GC'!$AJ$29="Alta",'Mapa final GC'!$AL$29="Catastrófico"),CONCATENATE("R2C",'Mapa final GC'!$S$29),"")</f>
        <v/>
      </c>
      <c r="AL24" s="42" t="str">
        <f>IF(AND('Mapa final GC'!$AJ$30="Alta",'Mapa final GC'!$AL$30="Catastrófico"),CONCATENATE("R2C",'Mapa final GC'!$S$30),"")</f>
        <v/>
      </c>
      <c r="AM24" s="42" t="str">
        <f>IF(AND('Mapa final GC'!$AJ$31="Alta",'Mapa final GC'!$AL$31="Catastrófico"),CONCATENATE("R2C",'Mapa final GC'!$S$31),"")</f>
        <v/>
      </c>
      <c r="AN24" s="43" t="str">
        <f>IF(AND('Mapa final GC'!$AJ$32="Alta",'Mapa final GC'!$AL$32="Catastrófico"),CONCATENATE("R2C",'Mapa final GC'!$S$32),"")</f>
        <v/>
      </c>
      <c r="AO24" s="69"/>
      <c r="AP24" s="787"/>
      <c r="AQ24" s="788"/>
      <c r="AR24" s="788"/>
      <c r="AS24" s="788"/>
      <c r="AT24" s="788"/>
      <c r="AU24" s="78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2:77" ht="15" customHeight="1" x14ac:dyDescent="0.25">
      <c r="B25" s="69"/>
      <c r="C25" s="679"/>
      <c r="D25" s="679"/>
      <c r="E25" s="680"/>
      <c r="F25" s="778"/>
      <c r="G25" s="779"/>
      <c r="H25" s="779"/>
      <c r="I25" s="779"/>
      <c r="J25" s="779"/>
      <c r="K25" s="53" t="str">
        <f>IF(AND('Mapa final GC'!$AJ$33="Alta",'Mapa final GC'!$AL$33="Leve"),CONCATENATE("R2C",'Mapa final GC'!$S$33),"")</f>
        <v/>
      </c>
      <c r="L25" s="54" t="str">
        <f>IF(AND('Mapa final GC'!$AJ$34="Alta",'Mapa final GC'!$AL$34="Leve"),CONCATENATE("R2C",'Mapa final GC'!$S$34),"")</f>
        <v/>
      </c>
      <c r="M25" s="54" t="str">
        <f>IF(AND('Mapa final GC'!$AJ$35="Alta",'Mapa final GC'!$AL$35="Leve"),CONCATENATE("R2C",'Mapa final GC'!$S$35),"")</f>
        <v/>
      </c>
      <c r="N25" s="54" t="str">
        <f>IF(AND('Mapa final GC'!$AJ$36="Alta",'Mapa final GC'!$AL$36="Leve"),CONCATENATE("R2C",'Mapa final GC'!$S$36),"")</f>
        <v/>
      </c>
      <c r="O25" s="54" t="str">
        <f>IF(AND('Mapa final GC'!$AJ$37="Alta",'Mapa final GC'!$AL$37="Leve"),CONCATENATE("R2C",'Mapa final GC'!$S$37),"")</f>
        <v/>
      </c>
      <c r="P25" s="55" t="str">
        <f>IF(AND('Mapa final GC'!$AJ$38="Alta",'Mapa final GC'!$AL$38="Leve"),CONCATENATE("R2C",'Mapa final GC'!$S$38),"")</f>
        <v/>
      </c>
      <c r="Q25" s="53" t="str">
        <f>IF(AND('Mapa final GC'!$AJ$33="Alta",'Mapa final GC'!$AL$33="Menor"),CONCATENATE("R2C",'Mapa final GC'!$S$33),"")</f>
        <v/>
      </c>
      <c r="R25" s="54" t="str">
        <f>IF(AND('Mapa final GC'!$AJ$34="Alta",'Mapa final GC'!$AL$34="Menor"),CONCATENATE("R2C",'Mapa final GC'!$S$34),"")</f>
        <v/>
      </c>
      <c r="S25" s="54" t="str">
        <f>IF(AND('Mapa final GC'!$AJ$35="Alta",'Mapa final GC'!$AL$35="Menor"),CONCATENATE("R2C",'Mapa final GC'!$S$35),"")</f>
        <v/>
      </c>
      <c r="T25" s="54" t="str">
        <f>IF(AND('Mapa final GC'!$AJ$36="Alta",'Mapa final GC'!$AL$36="Menor"),CONCATENATE("R2C",'Mapa final GC'!$S$36),"")</f>
        <v/>
      </c>
      <c r="U25" s="54" t="str">
        <f>IF(AND('Mapa final GC'!$AJ$37="Alta",'Mapa final GC'!$AL$37="LMenor"),CONCATENATE("R2C",'Mapa final GC'!$S$37),"")</f>
        <v/>
      </c>
      <c r="V25" s="55" t="str">
        <f>IF(AND('Mapa final GC'!$AJ$38="Alta",'Mapa final GC'!$AL$38="Menor"),CONCATENATE("R2C",'Mapa final GC'!$S$38),"")</f>
        <v/>
      </c>
      <c r="W25" s="38" t="str">
        <f>IF(AND('Mapa final GC'!$AJ$33="Alta",'Mapa final GC'!$AL$33="Moderado"),CONCATENATE("R2C",'Mapa final GC'!$S$33),"")</f>
        <v/>
      </c>
      <c r="X25" s="39" t="str">
        <f>IF(AND('Mapa final GC'!$AJ$34="Alta",'Mapa final GC'!$AL$34="Moderado"),CONCATENATE("R2C",'Mapa final GC'!$S$34),"")</f>
        <v/>
      </c>
      <c r="Y25" s="39" t="str">
        <f>IF(AND('Mapa final GC'!$AJ$35="Alta",'Mapa final GC'!$AL$35="Moderado"),CONCATENATE("R2C",'Mapa final GC'!$S$35),"")</f>
        <v/>
      </c>
      <c r="Z25" s="39" t="str">
        <f>IF(AND('Mapa final GC'!$AJ$36="Alta",'Mapa final GC'!$AL$36="Moderado"),CONCATENATE("R2C",'Mapa final GC'!$S$36),"")</f>
        <v/>
      </c>
      <c r="AA25" s="39" t="str">
        <f>IF(AND('Mapa final GC'!$AJ$37="Alta",'Mapa final GC'!$AL$37="Moderado"),CONCATENATE("R2C",'Mapa final GC'!$S$37),"")</f>
        <v/>
      </c>
      <c r="AB25" s="40" t="str">
        <f>IF(AND('Mapa final GC'!$AJ$38="Alta",'Mapa final GC'!$AL$38="Moderado"),CONCATENATE("R2C",'Mapa final GC'!$S$38),"")</f>
        <v/>
      </c>
      <c r="AC25" s="38" t="str">
        <f>IF(AND('Mapa final GC'!$AJ$33="Alta",'Mapa final GC'!$AL$33="Mayor"),CONCATENATE("R2C",'Mapa final GC'!$S$33),"")</f>
        <v/>
      </c>
      <c r="AD25" s="39" t="str">
        <f>IF(AND('Mapa final GC'!$AJ$34="Alta",'Mapa final GC'!$AL$34="Mayor"),CONCATENATE("R2C",'Mapa final GC'!$S$34),"")</f>
        <v/>
      </c>
      <c r="AE25" s="39" t="str">
        <f>IF(AND('Mapa final GC'!$AJ$35="Alta",'Mapa final GC'!$AL$35="Mayor"),CONCATENATE("R2C",'Mapa final GC'!$S$35),"")</f>
        <v/>
      </c>
      <c r="AF25" s="39" t="str">
        <f>IF(AND('Mapa final GC'!$AJ$36="Alta",'Mapa final GC'!$AL$36="Mayor"),CONCATENATE("R2C",'Mapa final GC'!$S$36),"")</f>
        <v/>
      </c>
      <c r="AG25" s="39" t="str">
        <f>IF(AND('Mapa final GC'!$AJ$37="Alta",'Mapa final GC'!$AL$37="Mayor"),CONCATENATE("R2C",'Mapa final GC'!$S$37),"")</f>
        <v/>
      </c>
      <c r="AH25" s="40" t="str">
        <f>IF(AND('Mapa final GC'!$AJ$38="Alta",'Mapa final GC'!$AL$38="Mayor"),CONCATENATE("R2C",'Mapa final GC'!$S$38),"")</f>
        <v/>
      </c>
      <c r="AI25" s="41" t="str">
        <f>IF(AND('Mapa final GC'!$AJ$33="Alta",'Mapa final GC'!$AL$33="Catastrófico"),CONCATENATE("R2C",'Mapa final GC'!$S$33),"")</f>
        <v/>
      </c>
      <c r="AJ25" s="42" t="str">
        <f>IF(AND('Mapa final GC'!$AJ$34="Alta",'Mapa final GC'!$AL$34="Catastrófico"),CONCATENATE("R2C",'Mapa final GC'!$S$34),"")</f>
        <v/>
      </c>
      <c r="AK25" s="42" t="str">
        <f>IF(AND('Mapa final GC'!$AJ$35="Alta",'Mapa final GC'!$AL$35="Catastrófico"),CONCATENATE("R2C",'Mapa final GC'!$S$35),"")</f>
        <v/>
      </c>
      <c r="AL25" s="42" t="str">
        <f>IF(AND('Mapa final GC'!$AJ$36="Alta",'Mapa final GC'!$AL$36="Catastrófico"),CONCATENATE("R2C",'Mapa final GC'!$S$36),"")</f>
        <v/>
      </c>
      <c r="AM25" s="42" t="str">
        <f>IF(AND('Mapa final GC'!$AJ$37="Alta",'Mapa final GC'!$AL$37="LCatastrófico"),CONCATENATE("R2C",'Mapa final GC'!$S$37),"")</f>
        <v/>
      </c>
      <c r="AN25" s="43" t="str">
        <f>IF(AND('Mapa final GC'!$AJ$38="Alta",'Mapa final GC'!$AL$38="Catastrófico"),CONCATENATE("R2C",'Mapa final GC'!$S$38),"")</f>
        <v/>
      </c>
      <c r="AO25" s="69"/>
      <c r="AP25" s="787"/>
      <c r="AQ25" s="788"/>
      <c r="AR25" s="788"/>
      <c r="AS25" s="788"/>
      <c r="AT25" s="788"/>
      <c r="AU25" s="78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row>
    <row r="26" spans="2:77" ht="15" customHeight="1" x14ac:dyDescent="0.25">
      <c r="B26" s="69"/>
      <c r="C26" s="679"/>
      <c r="D26" s="679"/>
      <c r="E26" s="680"/>
      <c r="F26" s="778"/>
      <c r="G26" s="779"/>
      <c r="H26" s="779"/>
      <c r="I26" s="779"/>
      <c r="J26" s="779"/>
      <c r="K26" s="53" t="str">
        <f>IF(AND('Mapa final GC'!$AJ$39="Alta",'Mapa final GC'!$AL$39="Leve"),CONCATENATE("R2C",'Mapa final GC'!$S$39),"")</f>
        <v/>
      </c>
      <c r="L26" s="54" t="str">
        <f>IF(AND('Mapa final GC'!$AJ$40="Alta",'Mapa final GC'!$AL$40="Leve"),CONCATENATE("R2C",'Mapa final GC'!$S$40),"")</f>
        <v/>
      </c>
      <c r="M26" s="54" t="str">
        <f>IF(AND('Mapa final GC'!$AJ$41="Alta",'Mapa final GC'!$AL$41="Leve"),CONCATENATE("R2C",'Mapa final GC'!$S$41),"")</f>
        <v/>
      </c>
      <c r="N26" s="54" t="str">
        <f>IF(AND('Mapa final GC'!$AJ$42="Alta",'Mapa final GC'!$AL$42="Leve"),CONCATENATE("R2C",'Mapa final GC'!$S$42),"")</f>
        <v/>
      </c>
      <c r="O26" s="54" t="str">
        <f>IF(AND('Mapa final GC'!$AJ$43="Alta",'Mapa final GC'!$AL$43="Leve"),CONCATENATE("R2C",'Mapa final GC'!$S$43),"")</f>
        <v/>
      </c>
      <c r="P26" s="55" t="str">
        <f>IF(AND('Mapa final GC'!$AJ$44="Alta",'Mapa final GC'!$AL$44="Leve"),CONCATENATE("R2C",'Mapa final GC'!$S$44),"")</f>
        <v/>
      </c>
      <c r="Q26" s="53" t="str">
        <f>IF(AND('Mapa final GC'!$AJ$39="Alta",'Mapa final GC'!$AL$39="Menor"),CONCATENATE("R2C",'Mapa final GC'!$S$39),"")</f>
        <v/>
      </c>
      <c r="R26" s="54" t="str">
        <f>IF(AND('Mapa final GC'!$AJ$40="Alta",'Mapa final GC'!$AL$40="Menor"),CONCATENATE("R2C",'Mapa final GC'!$S$40),"")</f>
        <v/>
      </c>
      <c r="S26" s="54" t="str">
        <f>IF(AND('Mapa final GC'!$AJ$41="Alta",'Mapa final GC'!$AL$41="Menor"),CONCATENATE("R2C",'Mapa final GC'!$S$41),"")</f>
        <v/>
      </c>
      <c r="T26" s="54" t="str">
        <f>IF(AND('Mapa final GC'!$AJ$42="Alta",'Mapa final GC'!$AL$42="Menor"),CONCATENATE("R2C",'Mapa final GC'!$S$42),"")</f>
        <v/>
      </c>
      <c r="U26" s="54" t="str">
        <f>IF(AND('Mapa final GC'!$AJ$43="Alta",'Mapa final GC'!$AL$43="Menor"),CONCATENATE("R2C",'Mapa final GC'!$S$43),"")</f>
        <v/>
      </c>
      <c r="V26" s="55" t="str">
        <f>IF(AND('Mapa final GC'!$AJ$44="Alta",'Mapa final GC'!$AL$44="Menor"),CONCATENATE("R2C",'Mapa final GC'!$S$44),"")</f>
        <v/>
      </c>
      <c r="W26" s="38" t="str">
        <f>IF(AND('Mapa final GC'!$AJ$39="Alta",'Mapa final GC'!$AL$39="Moderado"),CONCATENATE("R2C",'Mapa final GC'!$S$39),"")</f>
        <v/>
      </c>
      <c r="X26" s="39" t="str">
        <f>IF(AND('Mapa final GC'!$AJ$40="Alta",'Mapa final GC'!$AL$40="Moderado"),CONCATENATE("R2C",'Mapa final GC'!$S$40),"")</f>
        <v/>
      </c>
      <c r="Y26" s="39" t="str">
        <f>IF(AND('Mapa final GC'!$AJ$41="Alta",'Mapa final GC'!$AL$41="Moderado"),CONCATENATE("R2C",'Mapa final GC'!$S$41),"")</f>
        <v/>
      </c>
      <c r="Z26" s="39" t="str">
        <f>IF(AND('Mapa final GC'!$AJ$42="Alta",'Mapa final GC'!$AL$42="Moderado"),CONCATENATE("R2C",'Mapa final GC'!$S$42),"")</f>
        <v/>
      </c>
      <c r="AA26" s="39" t="str">
        <f>IF(AND('Mapa final GC'!$AJ$43="Alta",'Mapa final GC'!$AL$43="Moderado"),CONCATENATE("R2C",'Mapa final GC'!$S$43),"")</f>
        <v/>
      </c>
      <c r="AB26" s="40" t="str">
        <f>IF(AND('Mapa final GC'!$AJ$44="Alta",'Mapa final GC'!$AL$44="Moderado"),CONCATENATE("R2C",'Mapa final GC'!$S$44),"")</f>
        <v/>
      </c>
      <c r="AC26" s="38" t="str">
        <f>IF(AND('Mapa final GC'!$AJ$39="Alta",'Mapa final GC'!$AL$39="Mayor"),CONCATENATE("R2C",'Mapa final GC'!$S$39),"")</f>
        <v/>
      </c>
      <c r="AD26" s="39" t="str">
        <f>IF(AND('Mapa final GC'!$AJ$40="Alta",'Mapa final GC'!$AL$40="Mayor"),CONCATENATE("R2C",'Mapa final GC'!$S$40),"")</f>
        <v/>
      </c>
      <c r="AE26" s="39" t="str">
        <f>IF(AND('Mapa final GC'!$AJ$41="Alta",'Mapa final GC'!$AL$41="Mayor"),CONCATENATE("R2C",'Mapa final GC'!$S$41),"")</f>
        <v/>
      </c>
      <c r="AF26" s="39" t="str">
        <f>IF(AND('Mapa final GC'!$AJ$42="Alta",'Mapa final GC'!$AL$42="Mayor"),CONCATENATE("R2C",'Mapa final GC'!$S$42),"")</f>
        <v/>
      </c>
      <c r="AG26" s="39" t="str">
        <f>IF(AND('Mapa final GC'!$AJ$43="Alta",'Mapa final GC'!$AL$43="Mayor"),CONCATENATE("R2C",'Mapa final GC'!$S$43),"")</f>
        <v/>
      </c>
      <c r="AH26" s="40" t="str">
        <f>IF(AND('Mapa final GC'!$AJ$44="Alta",'Mapa final GC'!$AL$44="Mayor"),CONCATENATE("R2C",'Mapa final GC'!$S$44),"")</f>
        <v/>
      </c>
      <c r="AI26" s="41" t="str">
        <f>IF(AND('Mapa final GC'!$AJ$39="Alta",'Mapa final GC'!$AL$39="Catastrófico"),CONCATENATE("R2C",'Mapa final GC'!$S$39),"")</f>
        <v/>
      </c>
      <c r="AJ26" s="42" t="str">
        <f>IF(AND('Mapa final GC'!$AJ$40="Alta",'Mapa final GC'!$AL$40="Catastrófico"),CONCATENATE("R2C",'Mapa final GC'!$S$40),"")</f>
        <v/>
      </c>
      <c r="AK26" s="42" t="str">
        <f>IF(AND('Mapa final GC'!$AJ$41="Alta",'Mapa final GC'!$AL$41="Catastrófico"),CONCATENATE("R2C",'Mapa final GC'!$S$41),"")</f>
        <v/>
      </c>
      <c r="AL26" s="42" t="str">
        <f>IF(AND('Mapa final GC'!$AJ$42="Alta",'Mapa final GC'!$AL$42="Catastrófico"),CONCATENATE("R2C",'Mapa final GC'!$S$42),"")</f>
        <v/>
      </c>
      <c r="AM26" s="42" t="str">
        <f>IF(AND('Mapa final GC'!$AJ$43="Alta",'Mapa final GC'!$AL$43="Catastrófico"),CONCATENATE("R2C",'Mapa final GC'!$S$43),"")</f>
        <v/>
      </c>
      <c r="AN26" s="43" t="str">
        <f>IF(AND('Mapa final GC'!$AJ$44="Alta",'Mapa final GC'!$AL$44="Catastrófico"),CONCATENATE("R2C",'Mapa final GC'!$S$44),"")</f>
        <v/>
      </c>
      <c r="AO26" s="69"/>
      <c r="AP26" s="787"/>
      <c r="AQ26" s="788"/>
      <c r="AR26" s="788"/>
      <c r="AS26" s="788"/>
      <c r="AT26" s="788"/>
      <c r="AU26" s="78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row>
    <row r="27" spans="2:77" ht="15" customHeight="1" x14ac:dyDescent="0.25">
      <c r="B27" s="69"/>
      <c r="C27" s="679"/>
      <c r="D27" s="679"/>
      <c r="E27" s="680"/>
      <c r="F27" s="778"/>
      <c r="G27" s="779"/>
      <c r="H27" s="779"/>
      <c r="I27" s="779"/>
      <c r="J27" s="779"/>
      <c r="K27" s="53" t="str">
        <f>IF(AND('Mapa final GC'!$AJ$45="Alta",'Mapa final GC'!$AL$45="Leve"),CONCATENATE("R2C",'Mapa final GC'!$S$45),"")</f>
        <v/>
      </c>
      <c r="L27" s="54" t="str">
        <f>IF(AND('Mapa final GC'!$AJ$46="Alta",'Mapa final GC'!$AL$46="Leve"),CONCATENATE("R2C",'Mapa final GC'!$S$46),"")</f>
        <v/>
      </c>
      <c r="M27" s="54" t="str">
        <f>IF(AND('Mapa final GC'!$AJ$47="Alta",'Mapa final GC'!$AL$47="Leve"),CONCATENATE("R2C",'Mapa final GC'!$S$47),"")</f>
        <v/>
      </c>
      <c r="N27" s="54" t="str">
        <f>IF(AND('Mapa final GC'!$AJ$48="Alta",'Mapa final GC'!$AL$48="Leve"),CONCATENATE("R2C",'Mapa final GC'!$S$48),"")</f>
        <v/>
      </c>
      <c r="O27" s="54" t="str">
        <f>IF(AND('Mapa final GC'!$AJ$49="Alta",'Mapa final GC'!$AL$49="Leve"),CONCATENATE("R2C",'Mapa final GC'!$S$49),"")</f>
        <v/>
      </c>
      <c r="P27" s="55" t="str">
        <f>IF(AND('Mapa final GC'!$AJ$60="Alta",'Mapa final GC'!$AL$50="Leve"),CONCATENATE("R2C",'Mapa final GC'!$S$50),"")</f>
        <v/>
      </c>
      <c r="Q27" s="53" t="str">
        <f>IF(AND('Mapa final GC'!$AJ$45="Alta",'Mapa final GC'!$AL$45="Menor"),CONCATENATE("R2C",'Mapa final GC'!$S$45),"")</f>
        <v/>
      </c>
      <c r="R27" s="54" t="str">
        <f>IF(AND('Mapa final GC'!$AJ$46="Alta",'Mapa final GC'!$AL$46="Menor"),CONCATENATE("R2C",'Mapa final GC'!$S$46),"")</f>
        <v/>
      </c>
      <c r="S27" s="54" t="str">
        <f>IF(AND('Mapa final GC'!$AJ$47="Alta",'Mapa final GC'!$AL$47="Menor"),CONCATENATE("R2C",'Mapa final GC'!$S$47),"")</f>
        <v/>
      </c>
      <c r="T27" s="54" t="str">
        <f>IF(AND('Mapa final GC'!$AJ$48="Alta",'Mapa final GC'!$AL$48="Menor"),CONCATENATE("R2C",'Mapa final GC'!$S$48),"")</f>
        <v/>
      </c>
      <c r="U27" s="54" t="str">
        <f>IF(AND('Mapa final GC'!$AJ$49="Alta",'Mapa final GC'!$AL$49="Menor"),CONCATENATE("R2C",'Mapa final GC'!$S$49),"")</f>
        <v/>
      </c>
      <c r="V27" s="55" t="str">
        <f>IF(AND('Mapa final GC'!$AJ$60="Alta",'Mapa final GC'!$AL$50="Menor"),CONCATENATE("R2C",'Mapa final GC'!$S$50),"")</f>
        <v/>
      </c>
      <c r="W27" s="38" t="str">
        <f>IF(AND('Mapa final GC'!$AJ$45="Alta",'Mapa final GC'!$AL$45="Moderado"),CONCATENATE("R2C",'Mapa final GC'!$S$45),"")</f>
        <v/>
      </c>
      <c r="X27" s="39" t="str">
        <f>IF(AND('Mapa final GC'!$AJ$46="Alta",'Mapa final GC'!$AL$46="Moderado"),CONCATENATE("R2C",'Mapa final GC'!$S$46),"")</f>
        <v/>
      </c>
      <c r="Y27" s="39" t="str">
        <f>IF(AND('Mapa final GC'!$AJ$47="Alta",'Mapa final GC'!$AL$47="Moderado"),CONCATENATE("R2C",'Mapa final GC'!$S$47),"")</f>
        <v/>
      </c>
      <c r="Z27" s="39" t="str">
        <f>IF(AND('Mapa final GC'!$AJ$48="Alta",'Mapa final GC'!$AL$48="Moderado"),CONCATENATE("R2C",'Mapa final GC'!$S$48),"")</f>
        <v/>
      </c>
      <c r="AA27" s="39" t="str">
        <f>IF(AND('Mapa final GC'!$AJ$49="Alta",'Mapa final GC'!$AL$49="Moderado"),CONCATENATE("R2C",'Mapa final GC'!$S$49),"")</f>
        <v/>
      </c>
      <c r="AB27" s="40" t="str">
        <f>IF(AND('Mapa final GC'!$AJ$60="Alta",'Mapa final GC'!$AL$50="Moderado"),CONCATENATE("R2C",'Mapa final GC'!$S$50),"")</f>
        <v/>
      </c>
      <c r="AC27" s="38" t="str">
        <f>IF(AND('Mapa final GC'!$AJ$45="Alta",'Mapa final GC'!$AL$45="Mayor"),CONCATENATE("R2C",'Mapa final GC'!$S$45),"")</f>
        <v/>
      </c>
      <c r="AD27" s="39" t="str">
        <f>IF(AND('Mapa final GC'!$AJ$46="Alta",'Mapa final GC'!$AL$46="Mayor"),CONCATENATE("R2C",'Mapa final GC'!$S$46),"")</f>
        <v/>
      </c>
      <c r="AE27" s="39" t="str">
        <f>IF(AND('Mapa final GC'!$AJ$47="Alta",'Mapa final GC'!$AL$47="Mayor"),CONCATENATE("R2C",'Mapa final GC'!$S$47),"")</f>
        <v/>
      </c>
      <c r="AF27" s="39" t="str">
        <f>IF(AND('Mapa final GC'!$AJ$48="Alta",'Mapa final GC'!$AL$48="Mayor"),CONCATENATE("R2C",'Mapa final GC'!$S$48),"")</f>
        <v/>
      </c>
      <c r="AG27" s="39" t="str">
        <f>IF(AND('Mapa final GC'!$AJ$49="Alta",'Mapa final GC'!$AL$49="Mayor"),CONCATENATE("R2C",'Mapa final GC'!$S$49),"")</f>
        <v/>
      </c>
      <c r="AH27" s="40" t="str">
        <f>IF(AND('Mapa final GC'!$AJ$60="Alta",'Mapa final GC'!$AL$50="Mayor"),CONCATENATE("R2C",'Mapa final GC'!$S$50),"")</f>
        <v/>
      </c>
      <c r="AI27" s="41" t="str">
        <f>IF(AND('Mapa final GC'!$AJ$45="Alta",'Mapa final GC'!$AL$45="Catastrófico"),CONCATENATE("R2C",'Mapa final GC'!$S$45),"")</f>
        <v/>
      </c>
      <c r="AJ27" s="42" t="str">
        <f>IF(AND('Mapa final GC'!$AJ$46="Alta",'Mapa final GC'!$AL$46="Catastrófico"),CONCATENATE("R2C",'Mapa final GC'!$S$46),"")</f>
        <v/>
      </c>
      <c r="AK27" s="42" t="str">
        <f>IF(AND('Mapa final GC'!$AJ$47="Alta",'Mapa final GC'!$AL$47="Catastrófico"),CONCATENATE("R2C",'Mapa final GC'!$S$47),"")</f>
        <v/>
      </c>
      <c r="AL27" s="42" t="str">
        <f>IF(AND('Mapa final GC'!$AJ$48="Alta",'Mapa final GC'!$AL$48="Catastrófico"),CONCATENATE("R2C",'Mapa final GC'!$S$48),"")</f>
        <v/>
      </c>
      <c r="AM27" s="42" t="str">
        <f>IF(AND('Mapa final GC'!$AJ$49="Alta",'Mapa final GC'!$AL$49="Catastrófico"),CONCATENATE("R2C",'Mapa final GC'!$S$49),"")</f>
        <v/>
      </c>
      <c r="AN27" s="43" t="str">
        <f>IF(AND('Mapa final GC'!$AJ$60="Alta",'Mapa final GC'!$AL$50="Catastrófico"),CONCATENATE("R2C",'Mapa final GC'!$S$50),"")</f>
        <v/>
      </c>
      <c r="AO27" s="69"/>
      <c r="AP27" s="787"/>
      <c r="AQ27" s="788"/>
      <c r="AR27" s="788"/>
      <c r="AS27" s="788"/>
      <c r="AT27" s="788"/>
      <c r="AU27" s="78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row>
    <row r="28" spans="2:77" ht="15" customHeight="1" x14ac:dyDescent="0.25">
      <c r="B28" s="69"/>
      <c r="C28" s="679"/>
      <c r="D28" s="679"/>
      <c r="E28" s="680"/>
      <c r="F28" s="778"/>
      <c r="G28" s="779"/>
      <c r="H28" s="779"/>
      <c r="I28" s="779"/>
      <c r="J28" s="779"/>
      <c r="K28" s="53" t="str">
        <f>IF(AND('Mapa final GC'!$AJ$51="Alta",'Mapa final GC'!$AL$51="Leve"),CONCATENATE("R2C",'Mapa final GC'!$S$51),"")</f>
        <v/>
      </c>
      <c r="L28" s="54" t="str">
        <f>IF(AND('Mapa final GC'!$AJ$52="Alta",'Mapa final GC'!$AL$52="Leve"),CONCATENATE("R2C",'Mapa final GC'!$S$52),"")</f>
        <v/>
      </c>
      <c r="M28" s="54" t="str">
        <f>IF(AND('Mapa final GC'!$AJ$53="Alta",'Mapa final GC'!$AL$53="Leve"),CONCATENATE("R2C",'Mapa final GC'!$S$53),"")</f>
        <v/>
      </c>
      <c r="N28" s="54" t="str">
        <f>IF(AND('Mapa final GC'!$AJ$54="Alta",'Mapa final GC'!$AL$54="Leve"),CONCATENATE("R2C",'Mapa final GC'!$S$54),"")</f>
        <v/>
      </c>
      <c r="O28" s="54" t="str">
        <f>IF(AND('Mapa final GC'!$AJ$55="Alta",'Mapa final GC'!$AL$55="Leve"),CONCATENATE("R2C",'Mapa final GC'!$S$55),"")</f>
        <v/>
      </c>
      <c r="P28" s="55" t="str">
        <f>IF(AND('Mapa final GC'!$AJ$56="Alta",'Mapa final GC'!$AL$56="Leve"),CONCATENATE("R2C",'Mapa final GC'!$S$56),"")</f>
        <v/>
      </c>
      <c r="Q28" s="53" t="str">
        <f>IF(AND('Mapa final GC'!$AJ$51="Alta",'Mapa final GC'!$AL$51="Menor"),CONCATENATE("R2C",'Mapa final GC'!$S$51),"")</f>
        <v/>
      </c>
      <c r="R28" s="54" t="str">
        <f>IF(AND('Mapa final GC'!$AJ$52="Alta",'Mapa final GC'!$AL$52="Menor"),CONCATENATE("R2C",'Mapa final GC'!$S$52),"")</f>
        <v/>
      </c>
      <c r="S28" s="54" t="str">
        <f>IF(AND('Mapa final GC'!$AJ$53="Alta",'Mapa final GC'!$AL$53="Menor"),CONCATENATE("R2C",'Mapa final GC'!$S$53),"")</f>
        <v/>
      </c>
      <c r="T28" s="54" t="str">
        <f>IF(AND('Mapa final GC'!$AJ$54="Alta",'Mapa final GC'!$AL$54="Menor"),CONCATENATE("R2C",'Mapa final GC'!$S$54),"")</f>
        <v/>
      </c>
      <c r="U28" s="54" t="str">
        <f>IF(AND('Mapa final GC'!$AJ$55="Alta",'Mapa final GC'!$AL$55="Menor"),CONCATENATE("R2C",'Mapa final GC'!$S$55),"")</f>
        <v/>
      </c>
      <c r="V28" s="55" t="str">
        <f>IF(AND('Mapa final GC'!$AJ$56="Alta",'Mapa final GC'!$AL$56="Menor"),CONCATENATE("R2C",'Mapa final GC'!$S$56),"")</f>
        <v/>
      </c>
      <c r="W28" s="38" t="str">
        <f>IF(AND('Mapa final GC'!$AJ$51="Alta",'Mapa final GC'!$AL$51="Moderado"),CONCATENATE("R2C",'Mapa final GC'!$S$51),"")</f>
        <v/>
      </c>
      <c r="X28" s="39" t="str">
        <f>IF(AND('Mapa final GC'!$AJ$52="Alta",'Mapa final GC'!$AL$52="Moderado"),CONCATENATE("R2C",'Mapa final GC'!$S$52),"")</f>
        <v/>
      </c>
      <c r="Y28" s="39" t="str">
        <f>IF(AND('Mapa final GC'!$AJ$53="Alta",'Mapa final GC'!$AL$53="Moderado"),CONCATENATE("R2C",'Mapa final GC'!$S$53),"")</f>
        <v/>
      </c>
      <c r="Z28" s="39" t="str">
        <f>IF(AND('Mapa final GC'!$AJ$54="Alta",'Mapa final GC'!$AL$54="Moderado"),CONCATENATE("R2C",'Mapa final GC'!$S$54),"")</f>
        <v/>
      </c>
      <c r="AA28" s="39" t="str">
        <f>IF(AND('Mapa final GC'!$AJ$55="Alta",'Mapa final GC'!$AL$55="Moderado"),CONCATENATE("R2C",'Mapa final GC'!$S$55),"")</f>
        <v/>
      </c>
      <c r="AB28" s="40" t="str">
        <f>IF(AND('Mapa final GC'!$AJ$56="Alta",'Mapa final GC'!$AL$56="Moderado"),CONCATENATE("R2C",'Mapa final GC'!$S$56),"")</f>
        <v/>
      </c>
      <c r="AC28" s="38" t="str">
        <f>IF(AND('Mapa final GC'!$AJ$51="Alta",'Mapa final GC'!$AL$51="Mayor"),CONCATENATE("R2C",'Mapa final GC'!$S$51),"")</f>
        <v/>
      </c>
      <c r="AD28" s="39" t="str">
        <f>IF(AND('Mapa final GC'!$AJ$52="Alta",'Mapa final GC'!$AL$52="Mayor"),CONCATENATE("R2C",'Mapa final GC'!$S$52),"")</f>
        <v/>
      </c>
      <c r="AE28" s="39" t="str">
        <f>IF(AND('Mapa final GC'!$AJ$53="Alta",'Mapa final GC'!$AL$53="Mayor"),CONCATENATE("R2C",'Mapa final GC'!$S$53),"")</f>
        <v/>
      </c>
      <c r="AF28" s="39" t="str">
        <f>IF(AND('Mapa final GC'!$AJ$54="Alta",'Mapa final GC'!$AL$54="Mayor"),CONCATENATE("R2C",'Mapa final GC'!$S$54),"")</f>
        <v/>
      </c>
      <c r="AG28" s="39" t="str">
        <f>IF(AND('Mapa final GC'!$AJ$55="Alta",'Mapa final GC'!$AL$55="Mayor"),CONCATENATE("R2C",'Mapa final GC'!$S$55),"")</f>
        <v/>
      </c>
      <c r="AH28" s="40" t="str">
        <f>IF(AND('Mapa final GC'!$AJ$56="Alta",'Mapa final GC'!$AL$56="Mayor"),CONCATENATE("R2C",'Mapa final GC'!$S$56),"")</f>
        <v/>
      </c>
      <c r="AI28" s="41" t="str">
        <f>IF(AND('Mapa final GC'!$AJ$51="Alta",'Mapa final GC'!$AL$51="Catastrófico"),CONCATENATE("R2C",'Mapa final GC'!$S$51),"")</f>
        <v/>
      </c>
      <c r="AJ28" s="42" t="str">
        <f>IF(AND('Mapa final GC'!$AJ$52="Alta",'Mapa final GC'!$AL$52="Catastrófico"),CONCATENATE("R2C",'Mapa final GC'!$S$52),"")</f>
        <v/>
      </c>
      <c r="AK28" s="42" t="str">
        <f>IF(AND('Mapa final GC'!$AJ$53="Alta",'Mapa final GC'!$AL$53="Catastrófico"),CONCATENATE("R2C",'Mapa final GC'!$S$53),"")</f>
        <v/>
      </c>
      <c r="AL28" s="42" t="str">
        <f>IF(AND('Mapa final GC'!$AJ$54="Alta",'Mapa final GC'!$AL$54="Catastrófico"),CONCATENATE("R2C",'Mapa final GC'!$S$54),"")</f>
        <v/>
      </c>
      <c r="AM28" s="42" t="str">
        <f>IF(AND('Mapa final GC'!$AJ$55="Alta",'Mapa final GC'!$AL$55="Catastrófico"),CONCATENATE("R2C",'Mapa final GC'!$S$55),"")</f>
        <v/>
      </c>
      <c r="AN28" s="43" t="str">
        <f>IF(AND('Mapa final GC'!$AJ$56="Alta",'Mapa final GC'!$AL$56="Catastrófico"),CONCATENATE("R2C",'Mapa final GC'!$S$56),"")</f>
        <v/>
      </c>
      <c r="AO28" s="69"/>
      <c r="AP28" s="787"/>
      <c r="AQ28" s="788"/>
      <c r="AR28" s="788"/>
      <c r="AS28" s="788"/>
      <c r="AT28" s="788"/>
      <c r="AU28" s="78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row>
    <row r="29" spans="2:77" ht="15" customHeight="1" x14ac:dyDescent="0.25">
      <c r="B29" s="69"/>
      <c r="C29" s="679"/>
      <c r="D29" s="679"/>
      <c r="E29" s="680"/>
      <c r="F29" s="778"/>
      <c r="G29" s="779"/>
      <c r="H29" s="779"/>
      <c r="I29" s="779"/>
      <c r="J29" s="779"/>
      <c r="K29" s="53" t="str">
        <f>IF(AND('Mapa final GC'!$AJ$57="Alta",'Mapa final GC'!$AL$57="Leve"),CONCATENATE("R2C",'Mapa final GC'!$S$57),"")</f>
        <v/>
      </c>
      <c r="L29" s="54" t="str">
        <f>IF(AND('Mapa final GC'!$AJ$58="Alta",'Mapa final GC'!$AL$58="Leve"),CONCATENATE("R2C",'Mapa final GC'!$S$58),"")</f>
        <v/>
      </c>
      <c r="M29" s="54" t="str">
        <f>IF(AND('Mapa final GC'!$AJ$59="Alta",'Mapa final GC'!$AL$59="Leve"),CONCATENATE("R2C",'Mapa final GC'!$S$59),"")</f>
        <v/>
      </c>
      <c r="N29" s="54" t="str">
        <f>IF(AND('Mapa final GC'!$AJ$60="Alta",'Mapa final GC'!$AL$60="Leve"),CONCATENATE("R2C",'Mapa final GC'!$S$60),"")</f>
        <v/>
      </c>
      <c r="O29" s="54" t="str">
        <f>IF(AND('Mapa final GC'!$AJ$61="Alta",'Mapa final GC'!$AL$61="Leve"),CONCATENATE("R2C",'Mapa final GC'!$S$61),"")</f>
        <v/>
      </c>
      <c r="P29" s="55" t="str">
        <f>IF(AND('Mapa final GC'!$AJ$62="Alta",'Mapa final GC'!$AL$62="Leve"),CONCATENATE("R2C",'Mapa final GC'!$S$62),"")</f>
        <v/>
      </c>
      <c r="Q29" s="53" t="str">
        <f>IF(AND('Mapa final GC'!$AJ$57="Alta",'Mapa final GC'!$AL$57="Menor"),CONCATENATE("R2C",'Mapa final GC'!$S$57),"")</f>
        <v/>
      </c>
      <c r="R29" s="54" t="str">
        <f>IF(AND('Mapa final GC'!$AJ$58="Alta",'Mapa final GC'!$AL$58="Menor"),CONCATENATE("R2C",'Mapa final GC'!$S$58),"")</f>
        <v/>
      </c>
      <c r="S29" s="54" t="str">
        <f>IF(AND('Mapa final GC'!$AJ$59="Alta",'Mapa final GC'!$AL$59="Menor"),CONCATENATE("R2C",'Mapa final GC'!$S$59),"")</f>
        <v/>
      </c>
      <c r="T29" s="54" t="str">
        <f>IF(AND('Mapa final GC'!$AJ$60="Alta",'Mapa final GC'!$AL$60="Menor"),CONCATENATE("R2C",'Mapa final GC'!$S$60),"")</f>
        <v/>
      </c>
      <c r="U29" s="54" t="str">
        <f>IF(AND('Mapa final GC'!$AJ$61="Alta",'Mapa final GC'!$AL$61="Menor"),CONCATENATE("R2C",'Mapa final GC'!$S$61),"")</f>
        <v/>
      </c>
      <c r="V29" s="55" t="str">
        <f>IF(AND('Mapa final GC'!$AJ$62="Alta",'Mapa final GC'!$AL$62="Menor"),CONCATENATE("R2C",'Mapa final GC'!$S$62),"")</f>
        <v/>
      </c>
      <c r="W29" s="38" t="str">
        <f>IF(AND('Mapa final GC'!$AJ$57="Alta",'Mapa final GC'!$AL$57="Moderado"),CONCATENATE("R2C",'Mapa final GC'!$S$57),"")</f>
        <v/>
      </c>
      <c r="X29" s="39" t="str">
        <f>IF(AND('Mapa final GC'!$AJ$58="Alta",'Mapa final GC'!$AL$58="Moderado"),CONCATENATE("R2C",'Mapa final GC'!$S$58),"")</f>
        <v/>
      </c>
      <c r="Y29" s="39" t="str">
        <f>IF(AND('Mapa final GC'!$AJ$59="Alta",'Mapa final GC'!$AL$59="Moderado"),CONCATENATE("R2C",'Mapa final GC'!$S$59),"")</f>
        <v/>
      </c>
      <c r="Z29" s="39" t="str">
        <f>IF(AND('Mapa final GC'!$AJ$60="Alta",'Mapa final GC'!$AL$60="Moderado"),CONCATENATE("R2C",'Mapa final GC'!$S$60),"")</f>
        <v/>
      </c>
      <c r="AA29" s="39" t="str">
        <f>IF(AND('Mapa final GC'!$AJ$61="Alta",'Mapa final GC'!$AL$61="Moderado"),CONCATENATE("R2C",'Mapa final GC'!$S$61),"")</f>
        <v/>
      </c>
      <c r="AB29" s="40" t="str">
        <f>IF(AND('Mapa final GC'!$AJ$62="Alta",'Mapa final GC'!$AL$62="Moderado"),CONCATENATE("R2C",'Mapa final GC'!$S$62),"")</f>
        <v/>
      </c>
      <c r="AC29" s="38" t="str">
        <f>IF(AND('Mapa final GC'!$AJ$57="Alta",'Mapa final GC'!$AL$57="Mayor"),CONCATENATE("R2C",'Mapa final GC'!$S$57),"")</f>
        <v/>
      </c>
      <c r="AD29" s="39" t="str">
        <f>IF(AND('Mapa final GC'!$AJ$58="Alta",'Mapa final GC'!$AL$58="Mayor"),CONCATENATE("R2C",'Mapa final GC'!$S$58),"")</f>
        <v/>
      </c>
      <c r="AE29" s="39" t="str">
        <f>IF(AND('Mapa final GC'!$AJ$59="Alta",'Mapa final GC'!$AL$59="Mayor"),CONCATENATE("R2C",'Mapa final GC'!$S$59),"")</f>
        <v/>
      </c>
      <c r="AF29" s="39" t="str">
        <f>IF(AND('Mapa final GC'!$AJ$60="Alta",'Mapa final GC'!$AL$60="Mayor"),CONCATENATE("R2C",'Mapa final GC'!$S$60),"")</f>
        <v/>
      </c>
      <c r="AG29" s="39" t="str">
        <f>IF(AND('Mapa final GC'!$AJ$61="Alta",'Mapa final GC'!$AL$61="Mayor"),CONCATENATE("R2C",'Mapa final GC'!$S$61),"")</f>
        <v/>
      </c>
      <c r="AH29" s="40" t="str">
        <f>IF(AND('Mapa final GC'!$AJ$62="Alta",'Mapa final GC'!$AL$62="Mayor"),CONCATENATE("R2C",'Mapa final GC'!$S$62),"")</f>
        <v/>
      </c>
      <c r="AI29" s="41" t="str">
        <f>IF(AND('Mapa final GC'!$AJ$57="Alta",'Mapa final GC'!$AL$57="Catastrófico"),CONCATENATE("R2C",'Mapa final GC'!$S$57),"")</f>
        <v/>
      </c>
      <c r="AJ29" s="42" t="str">
        <f>IF(AND('Mapa final GC'!$AJ$58="Alta",'Mapa final GC'!$AL$58="Catastrófico"),CONCATENATE("R2C",'Mapa final GC'!$S$58),"")</f>
        <v/>
      </c>
      <c r="AK29" s="42" t="str">
        <f>IF(AND('Mapa final GC'!$AJ$59="Alta",'Mapa final GC'!$AL$59="Catastrófico"),CONCATENATE("R2C",'Mapa final GC'!$S$59),"")</f>
        <v/>
      </c>
      <c r="AL29" s="42" t="str">
        <f>IF(AND('Mapa final GC'!$AJ$60="Alta",'Mapa final GC'!$AL$60="Catastrófico"),CONCATENATE("R2C",'Mapa final GC'!$S$60),"")</f>
        <v/>
      </c>
      <c r="AM29" s="42" t="str">
        <f>IF(AND('Mapa final GC'!$AJ$61="Alta",'Mapa final GC'!$AL$61="Catastrófico"),CONCATENATE("R2C",'Mapa final GC'!$S$61),"")</f>
        <v/>
      </c>
      <c r="AN29" s="43" t="str">
        <f>IF(AND('Mapa final GC'!$AJ$62="Alta",'Mapa final GC'!$AL$62="Catastrófico"),CONCATENATE("R2C",'Mapa final GC'!$S$62),"")</f>
        <v/>
      </c>
      <c r="AO29" s="69"/>
      <c r="AP29" s="787"/>
      <c r="AQ29" s="788"/>
      <c r="AR29" s="788"/>
      <c r="AS29" s="788"/>
      <c r="AT29" s="788"/>
      <c r="AU29" s="78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row>
    <row r="30" spans="2:77" ht="15" customHeight="1" x14ac:dyDescent="0.25">
      <c r="B30" s="69"/>
      <c r="C30" s="679"/>
      <c r="D30" s="679"/>
      <c r="E30" s="680"/>
      <c r="F30" s="778"/>
      <c r="G30" s="779"/>
      <c r="H30" s="779"/>
      <c r="I30" s="779"/>
      <c r="J30" s="779"/>
      <c r="K30" s="53" t="str">
        <f>IF(AND('Mapa final GC'!$AJ$63="Alta",'Mapa final GC'!$AL$63="Leve"),CONCATENATE("R2C",'Mapa final GC'!$S$63),"")</f>
        <v/>
      </c>
      <c r="L30" s="54" t="str">
        <f>IF(AND('Mapa final GC'!$AJ$64="Alta",'Mapa final GC'!$AL$64="Leve"),CONCATENATE("R2C",'Mapa final GC'!$S$64),"")</f>
        <v/>
      </c>
      <c r="M30" s="54" t="str">
        <f>IF(AND('Mapa final GC'!$AJ$65="Alta",'Mapa final GC'!$AL$65="Leve"),CONCATENATE("R2C",'Mapa final GC'!$S$65),"")</f>
        <v/>
      </c>
      <c r="N30" s="54" t="str">
        <f>IF(AND('Mapa final GC'!$AJ$66="Alta",'Mapa final GC'!$AL$66="Leve"),CONCATENATE("R2C",'Mapa final GC'!$S$66),"")</f>
        <v/>
      </c>
      <c r="O30" s="54" t="str">
        <f>IF(AND('Mapa final GC'!$AJ$67="Alta",'Mapa final GC'!$AL$67="Leve"),CONCATENATE("R2C",'Mapa final GC'!$S$67),"")</f>
        <v/>
      </c>
      <c r="P30" s="55" t="str">
        <f>IF(AND('Mapa final GC'!$AJ$68="Alta",'Mapa final GC'!$AL$68="Leve"),CONCATENATE("R2C",'Mapa final GC'!$S$68),"")</f>
        <v/>
      </c>
      <c r="Q30" s="53" t="str">
        <f>IF(AND('Mapa final GC'!$AJ$63="Alta",'Mapa final GC'!$AL$63="Menor"),CONCATENATE("R2C",'Mapa final GC'!$S$63),"")</f>
        <v/>
      </c>
      <c r="R30" s="54" t="str">
        <f>IF(AND('Mapa final GC'!$AJ$64="Alta",'Mapa final GC'!$AL$64="Menor"),CONCATENATE("R2C",'Mapa final GC'!$S$64),"")</f>
        <v/>
      </c>
      <c r="S30" s="54" t="str">
        <f>IF(AND('Mapa final GC'!$AJ$65="Alta",'Mapa final GC'!$AL$65="Menor"),CONCATENATE("R2C",'Mapa final GC'!$S$65),"")</f>
        <v/>
      </c>
      <c r="T30" s="54" t="str">
        <f>IF(AND('Mapa final GC'!$AJ$66="Alta",'Mapa final GC'!$AL$66="Menor"),CONCATENATE("R2C",'Mapa final GC'!$S$66),"")</f>
        <v/>
      </c>
      <c r="U30" s="54" t="str">
        <f>IF(AND('Mapa final GC'!$AJ$67="Alta",'Mapa final GC'!$AL$67="Menor"),CONCATENATE("R2C",'Mapa final GC'!$S$67),"")</f>
        <v/>
      </c>
      <c r="V30" s="55" t="str">
        <f>IF(AND('Mapa final GC'!$AJ$68="Alta",'Mapa final GC'!$AL$68="Menor"),CONCATENATE("R2C",'Mapa final GC'!$S$68),"")</f>
        <v/>
      </c>
      <c r="W30" s="38" t="str">
        <f>IF(AND('Mapa final GC'!$AJ$63="Alta",'Mapa final GC'!$AL$63="Moderado"),CONCATENATE("R2C",'Mapa final GC'!$S$63),"")</f>
        <v/>
      </c>
      <c r="X30" s="39" t="str">
        <f>IF(AND('Mapa final GC'!$AJ$64="Alta",'Mapa final GC'!$AL$64="Moderado"),CONCATENATE("R2C",'Mapa final GC'!$S$64),"")</f>
        <v/>
      </c>
      <c r="Y30" s="39" t="str">
        <f>IF(AND('Mapa final GC'!$AJ$65="Alta",'Mapa final GC'!$AL$65="Moderado"),CONCATENATE("R2C",'Mapa final GC'!$S$65),"")</f>
        <v/>
      </c>
      <c r="Z30" s="39" t="str">
        <f>IF(AND('Mapa final GC'!$AJ$66="Alta",'Mapa final GC'!$AL$66="Moderado"),CONCATENATE("R2C",'Mapa final GC'!$S$66),"")</f>
        <v/>
      </c>
      <c r="AA30" s="39" t="str">
        <f>IF(AND('Mapa final GC'!$AJ$67="Alta",'Mapa final GC'!$AL$67="Moderado"),CONCATENATE("R2C",'Mapa final GC'!$S$67),"")</f>
        <v/>
      </c>
      <c r="AB30" s="40" t="str">
        <f>IF(AND('Mapa final GC'!$AJ$68="Alta",'Mapa final GC'!$AL$68="Moderado"),CONCATENATE("R2C",'Mapa final GC'!$S$68),"")</f>
        <v/>
      </c>
      <c r="AC30" s="38" t="str">
        <f>IF(AND('Mapa final GC'!$AJ$63="Alta",'Mapa final GC'!$AL$63="Mayor"),CONCATENATE("R2C",'Mapa final GC'!$S$63),"")</f>
        <v/>
      </c>
      <c r="AD30" s="39" t="str">
        <f>IF(AND('Mapa final GC'!$AJ$64="Alta",'Mapa final GC'!$AL$64="Mayor"),CONCATENATE("R2C",'Mapa final GC'!$S$64),"")</f>
        <v/>
      </c>
      <c r="AE30" s="39" t="str">
        <f>IF(AND('Mapa final GC'!$AJ$65="Alta",'Mapa final GC'!$AL$65="Mayor"),CONCATENATE("R2C",'Mapa final GC'!$S$65),"")</f>
        <v/>
      </c>
      <c r="AF30" s="39" t="str">
        <f>IF(AND('Mapa final GC'!$AJ$66="Alta",'Mapa final GC'!$AL$66="Mayor"),CONCATENATE("R2C",'Mapa final GC'!$S$66),"")</f>
        <v/>
      </c>
      <c r="AG30" s="39" t="str">
        <f>IF(AND('Mapa final GC'!$AJ$67="Alta",'Mapa final GC'!$AL$67="Mayor"),CONCATENATE("R2C",'Mapa final GC'!$S$67),"")</f>
        <v/>
      </c>
      <c r="AH30" s="40" t="str">
        <f>IF(AND('Mapa final GC'!$AJ$68="Alta",'Mapa final GC'!$AL$68="Mayor"),CONCATENATE("R2C",'Mapa final GC'!$S$68),"")</f>
        <v/>
      </c>
      <c r="AI30" s="41" t="str">
        <f>IF(AND('Mapa final GC'!$AJ$63="Alta",'Mapa final GC'!$AL$63="Catastrófico"),CONCATENATE("R2C",'Mapa final GC'!$S$63),"")</f>
        <v/>
      </c>
      <c r="AJ30" s="42" t="str">
        <f>IF(AND('Mapa final GC'!$AJ$64="Alta",'Mapa final GC'!$AL$64="Catastrófico"),CONCATENATE("R2C",'Mapa final GC'!$S$64),"")</f>
        <v/>
      </c>
      <c r="AK30" s="42" t="str">
        <f>IF(AND('Mapa final GC'!$AJ$65="Alta",'Mapa final GC'!$AL$65="Catastrófico"),CONCATENATE("R2C",'Mapa final GC'!$S$65),"")</f>
        <v/>
      </c>
      <c r="AL30" s="42" t="str">
        <f>IF(AND('Mapa final GC'!$AJ$66="Alta",'Mapa final GC'!$AL$66="Catastrófico"),CONCATENATE("R2C",'Mapa final GC'!$S$66),"")</f>
        <v/>
      </c>
      <c r="AM30" s="42" t="str">
        <f>IF(AND('Mapa final GC'!$AJ$67="Alta",'Mapa final GC'!$AL$67="Catastrófico"),CONCATENATE("R2C",'Mapa final GC'!$S$67),"")</f>
        <v/>
      </c>
      <c r="AN30" s="43" t="str">
        <f>IF(AND('Mapa final GC'!$AJ$68="Alta",'Mapa final GC'!$AL$68="Catastrófico"),CONCATENATE("R2C",'Mapa final GC'!$S$68),"")</f>
        <v/>
      </c>
      <c r="AO30" s="69"/>
      <c r="AP30" s="787"/>
      <c r="AQ30" s="788"/>
      <c r="AR30" s="788"/>
      <c r="AS30" s="788"/>
      <c r="AT30" s="788"/>
      <c r="AU30" s="78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row>
    <row r="31" spans="2:77" ht="15.75" customHeight="1" thickBot="1" x14ac:dyDescent="0.3">
      <c r="B31" s="69"/>
      <c r="C31" s="679"/>
      <c r="D31" s="679"/>
      <c r="E31" s="680"/>
      <c r="F31" s="781"/>
      <c r="G31" s="782"/>
      <c r="H31" s="782"/>
      <c r="I31" s="782"/>
      <c r="J31" s="782"/>
      <c r="K31" s="56" t="str">
        <f>IF(AND('Mapa final GC'!$AJ$69="Alta",'Mapa final GC'!$AL$69="Leve"),CONCATENATE("R2C",'Mapa final GC'!$S$69),"")</f>
        <v/>
      </c>
      <c r="L31" s="57" t="str">
        <f>IF(AND('Mapa final GC'!$AJ$70="Alta",'Mapa final GC'!$AL$70="Leve"),CONCATENATE("R2C",'Mapa final GC'!$S$70),"")</f>
        <v/>
      </c>
      <c r="M31" s="57" t="str">
        <f>IF(AND('Mapa final GC'!$AJ$71="Alta",'Mapa final GC'!$AL$71="Leve"),CONCATENATE("R2C",'Mapa final GC'!$S$71),"")</f>
        <v/>
      </c>
      <c r="N31" s="57" t="str">
        <f>IF(AND('Mapa final GC'!$AJ$72="Alta",'Mapa final GC'!$AL$72="Leve"),CONCATENATE("R2C",'Mapa final GC'!$S$72),"")</f>
        <v/>
      </c>
      <c r="O31" s="57" t="str">
        <f>IF(AND('Mapa final GC'!$AJ$74="Alta",'Mapa final GC'!$AL$74="Leve"),CONCATENATE("R2C",'Mapa final GC'!$S$74),"")</f>
        <v/>
      </c>
      <c r="P31" s="58" t="str">
        <f>IF(AND('Mapa final GC'!$AJ$75="Alta",'Mapa final GC'!$AL$75="Leve"),CONCATENATE("R2C",'Mapa final GC'!$S$75),"")</f>
        <v/>
      </c>
      <c r="Q31" s="56" t="str">
        <f>IF(AND('Mapa final GC'!$AJ$69="Alta",'Mapa final GC'!$AL$69="Menor"),CONCATENATE("R2C",'Mapa final GC'!$S$69),"")</f>
        <v/>
      </c>
      <c r="R31" s="57" t="str">
        <f>IF(AND('Mapa final GC'!$AJ$70="Alta",'Mapa final GC'!$AL$70="Menor"),CONCATENATE("R2C",'Mapa final GC'!$S$70),"")</f>
        <v/>
      </c>
      <c r="S31" s="57" t="str">
        <f>IF(AND('Mapa final GC'!$AJ$71="Alta",'Mapa final GC'!$AL$71="Menor"),CONCATENATE("R2C",'Mapa final GC'!$S$71),"")</f>
        <v/>
      </c>
      <c r="T31" s="57" t="str">
        <f>IF(AND('Mapa final GC'!$AJ$72="Alta",'Mapa final GC'!$AL$72="Menor"),CONCATENATE("R2C",'Mapa final GC'!$S$72),"")</f>
        <v/>
      </c>
      <c r="U31" s="57" t="str">
        <f>IF(AND('Mapa final GC'!$AJ$74="Alta",'Mapa final GC'!$AL$74="Menor"),CONCATENATE("R2C",'Mapa final GC'!$S$74),"")</f>
        <v/>
      </c>
      <c r="V31" s="58" t="str">
        <f>IF(AND('Mapa final GC'!$AJ$75="Alta",'Mapa final GC'!$AL$75="Menor"),CONCATENATE("R2C",'Mapa final GC'!$S$75),"")</f>
        <v/>
      </c>
      <c r="W31" s="44" t="str">
        <f>IF(AND('Mapa final GC'!$AJ$69="Alta",'Mapa final GC'!$AL$69="Moderado"),CONCATENATE("R2C",'Mapa final GC'!$S$69),"")</f>
        <v/>
      </c>
      <c r="X31" s="45" t="str">
        <f>IF(AND('Mapa final GC'!$AJ$70="Alta",'Mapa final GC'!$AL$70="Moderado"),CONCATENATE("R2C",'Mapa final GC'!$S$70),"")</f>
        <v/>
      </c>
      <c r="Y31" s="45" t="str">
        <f>IF(AND('Mapa final GC'!$AJ$71="Alta",'Mapa final GC'!$AL$71="Moderado"),CONCATENATE("R2C",'Mapa final GC'!$S$71),"")</f>
        <v/>
      </c>
      <c r="Z31" s="45" t="str">
        <f>IF(AND('Mapa final GC'!$AJ$72="Alta",'Mapa final GC'!$AL$72="Moderado"),CONCATENATE("R2C",'Mapa final GC'!$S$72),"")</f>
        <v/>
      </c>
      <c r="AA31" s="45" t="str">
        <f>IF(AND('Mapa final GC'!$AJ$74="Alta",'Mapa final GC'!$AL$74="Moderado"),CONCATENATE("R2C",'Mapa final GC'!$S$74),"")</f>
        <v/>
      </c>
      <c r="AB31" s="46" t="str">
        <f>IF(AND('Mapa final GC'!$AJ$75="Alta",'Mapa final GC'!$AL$75="Moderado"),CONCATENATE("R2C",'Mapa final GC'!$S$75),"")</f>
        <v/>
      </c>
      <c r="AC31" s="44" t="str">
        <f>IF(AND('Mapa final GC'!$AJ$69="Alta",'Mapa final GC'!$AL$69="Mayor"),CONCATENATE("R2C",'Mapa final GC'!$S$69),"")</f>
        <v/>
      </c>
      <c r="AD31" s="45" t="str">
        <f>IF(AND('Mapa final GC'!$AJ$70="Alta",'Mapa final GC'!$AL$70="Mayor"),CONCATENATE("R2C",'Mapa final GC'!$S$70),"")</f>
        <v/>
      </c>
      <c r="AE31" s="45" t="str">
        <f>IF(AND('Mapa final GC'!$AJ$71="Alta",'Mapa final GC'!$AL$71="Mayor"),CONCATENATE("R2C",'Mapa final GC'!$S$71),"")</f>
        <v/>
      </c>
      <c r="AF31" s="45" t="str">
        <f>IF(AND('Mapa final GC'!$AJ$72="Alta",'Mapa final GC'!$AL$72="Mayor"),CONCATENATE("R2C",'Mapa final GC'!$S$72),"")</f>
        <v/>
      </c>
      <c r="AG31" s="45" t="str">
        <f>IF(AND('Mapa final GC'!$AJ$74="Alta",'Mapa final GC'!$AL$74="Mayor"),CONCATENATE("R2C",'Mapa final GC'!$S$74),"")</f>
        <v/>
      </c>
      <c r="AH31" s="46" t="str">
        <f>IF(AND('Mapa final GC'!$AJ$75="Alta",'Mapa final GC'!$AL$75="Mayor"),CONCATENATE("R2C",'Mapa final GC'!$S$75),"")</f>
        <v/>
      </c>
      <c r="AI31" s="47" t="str">
        <f>IF(AND('Mapa final GC'!$AJ$69="Alta",'Mapa final GC'!$AL$69="Catastrófico"),CONCATENATE("R2C",'Mapa final GC'!$S$69),"")</f>
        <v/>
      </c>
      <c r="AJ31" s="48" t="str">
        <f>IF(AND('Mapa final GC'!$AJ$70="Alta",'Mapa final GC'!$AL$70="Catastrófico"),CONCATENATE("R2C",'Mapa final GC'!$S$70),"")</f>
        <v/>
      </c>
      <c r="AK31" s="48" t="str">
        <f>IF(AND('Mapa final GC'!$AJ$71="Alta",'Mapa final GC'!$AL$71="Catastrófico"),CONCATENATE("R2C",'Mapa final GC'!$S$71),"")</f>
        <v/>
      </c>
      <c r="AL31" s="48" t="str">
        <f>IF(AND('Mapa final GC'!$AJ$72="Alta",'Mapa final GC'!$AL$72="Catastrófico"),CONCATENATE("R2C",'Mapa final GC'!$S$72),"")</f>
        <v/>
      </c>
      <c r="AM31" s="48" t="str">
        <f>IF(AND('Mapa final GC'!$AJ$74="Alta",'Mapa final GC'!$AL$74="Catastrófico"),CONCATENATE("R2C",'Mapa final GC'!$S$74),"")</f>
        <v/>
      </c>
      <c r="AN31" s="49" t="str">
        <f>IF(AND('Mapa final GC'!$AJ$75="Muy Alta",'Mapa final GC'!$AL$75="Catastrófico"),CONCATENATE("R2C",'Mapa final GC'!$S$75),"")</f>
        <v/>
      </c>
      <c r="AO31" s="69"/>
      <c r="AP31" s="790"/>
      <c r="AQ31" s="791"/>
      <c r="AR31" s="791"/>
      <c r="AS31" s="791"/>
      <c r="AT31" s="791"/>
      <c r="AU31" s="792"/>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row>
    <row r="32" spans="2:77" ht="15" customHeight="1" x14ac:dyDescent="0.25">
      <c r="B32" s="69"/>
      <c r="C32" s="679"/>
      <c r="D32" s="679"/>
      <c r="E32" s="680"/>
      <c r="F32" s="775" t="s">
        <v>115</v>
      </c>
      <c r="G32" s="776"/>
      <c r="H32" s="776"/>
      <c r="I32" s="776"/>
      <c r="J32" s="777"/>
      <c r="K32" s="50" t="str">
        <f>IF(AND('Mapa final GC'!$AJ$15="Media",'Mapa final GC'!$AL$15="Leve"),CONCATENATE("R2C",'Mapa final GC'!$S$15),"")</f>
        <v/>
      </c>
      <c r="L32" s="51" t="str">
        <f>IF(AND('Mapa final AU'!$AJ$16="Media",'Mapa final AU'!$AL$16="Leve"),CONCATENATE("R2C",'Mapa final AU'!$D$16),"")</f>
        <v>R2C2AU</v>
      </c>
      <c r="M32" s="51" t="str">
        <f>IF(AND('Mapa final GC'!$AJ$17="Media",'Mapa final GC'!$AL$17="Leve"),CONCATENATE("R2C",'Mapa final GC'!$S$17),"")</f>
        <v/>
      </c>
      <c r="N32" s="51" t="str">
        <f>IF(AND('Mapa final GC'!$AJ$19="Media",'Mapa final GC'!$AL$19="Leve"),CONCATENATE("R2C",'Mapa final GC'!$S$19),"")</f>
        <v/>
      </c>
      <c r="O32" s="51" t="str">
        <f>IF(AND('Mapa final GC'!$AJ$20="Media",'Mapa final GC'!$AL$20="Leve"),CONCATENATE("R2C",'Mapa final GC'!$S$20),"")</f>
        <v/>
      </c>
      <c r="P32" s="52" t="e">
        <f>IF(AND('Mapa final GC'!#REF!="Media",'Mapa final GC'!#REF!="Leve"),CONCATENATE("R2C",'Mapa final GC'!#REF!),"")</f>
        <v>#REF!</v>
      </c>
      <c r="Q32" s="50" t="str">
        <f>IF(AND('Mapa final SST'!$AL$15="Media",'Mapa final SST'!$AN$15="Menor"),CONCATENATE("R1C",'Mapa final SST'!$D$15),"")</f>
        <v>R1C1SST</v>
      </c>
      <c r="R32" s="51" t="str">
        <f>IF(AND('Mapa final GC'!$AJ$16="Media",'Mapa final GC'!$AL$16="Menore"),CONCATENATE("R2C",'Mapa final GC'!$S$16),"")</f>
        <v/>
      </c>
      <c r="S32" s="51" t="str">
        <f>IF(AND('Mapa final GC'!$AJ$17="Media",'Mapa final GC'!$AL$17="Menor"),CONCATENATE("R2C",'Mapa final GC'!$S$17),"")</f>
        <v/>
      </c>
      <c r="T32" s="51" t="str">
        <f>IF(AND('Mapa final GC'!$AJ$19="Media",'Mapa final GC'!$AL$19="Menor"),CONCATENATE("R2C",'Mapa final GC'!$S$19),"")</f>
        <v/>
      </c>
      <c r="U32" s="51" t="str">
        <f>IF(AND('Mapa final GC'!$AJ$20="Media",'Mapa final GC'!$AL$20="Menor"),CONCATENATE("R2C",'Mapa final GC'!$S$20),"")</f>
        <v/>
      </c>
      <c r="V32" s="52" t="e">
        <f>IF(AND('Mapa final GC'!#REF!="Media",'Mapa final GC'!#REF!="Menor"),CONCATENATE("R2C",'Mapa final GC'!#REF!),"")</f>
        <v>#REF!</v>
      </c>
      <c r="W32" s="50" t="str">
        <f>IF(AND('Mapa final GC'!$AJ$15="Media",'Mapa final GC'!$AL$15="Moderado"),CONCATENATE("R2C",'Mapa final GC'!$S$15),"")</f>
        <v/>
      </c>
      <c r="X32" s="51" t="str">
        <f>IF(AND('Mapa final GC'!$AJ$16="Media",'Mapa final GC'!$AL$16="Moderado"),CONCATENATE("R2C",'Mapa final GC'!$S$16),"")</f>
        <v/>
      </c>
      <c r="Y32" s="51"/>
      <c r="Z32" s="51" t="str">
        <f>IF(AND('Mapa final GC'!$AJ$19="Media",'Mapa final GC'!$AL$19="Moderado"),CONCATENATE("R2C",'Mapa final GC'!$S$19),"")</f>
        <v/>
      </c>
      <c r="AA32" s="51" t="str">
        <f>IF(AND('Mapa final GC'!$AJ$20="Media",'Mapa final GC'!$AL$20="Moderado"),CONCATENATE("R2C",'Mapa final GC'!$S$20),"")</f>
        <v/>
      </c>
      <c r="AB32" s="52" t="e">
        <f>IF(AND('Mapa final GC'!#REF!="Media",'Mapa final GC'!#REF!="Moderado"),CONCATENATE("R2C",'Mapa final GC'!#REF!),"")</f>
        <v>#REF!</v>
      </c>
      <c r="AC32" s="32" t="str">
        <f>IF(AND('Mapa final SI'!$AJ$15="Media",'Mapa final SI'!$AL$15="Mayor"),CONCATENATE("R1C",'Mapa final SI'!$D$15),"")</f>
        <v/>
      </c>
      <c r="AD32" s="33" t="str">
        <f>IF(AND('Mapa final GC'!$AJ$16="Media",'Mapa final GC'!$AL$16="Mayor"),CONCATENATE("R2C",'Mapa final GC'!$S$16),"")</f>
        <v/>
      </c>
      <c r="AE32" s="33" t="str">
        <f>IF(AND('Mapa final GC'!$AJ$17="Media",'Mapa final GC'!$AL$17="Mayor"),CONCATENATE("R2C",'Mapa final GC'!$S$17),"")</f>
        <v/>
      </c>
      <c r="AF32" s="33" t="str">
        <f>IF(AND('Mapa final GC'!$AJ$19="Media",'Mapa final GC'!$AL$19="Mayor"),CONCATENATE("R2C",'Mapa final GC'!$S$19),"")</f>
        <v/>
      </c>
      <c r="AG32" s="33" t="str">
        <f>IF(AND('Mapa final GC'!$AJ$20="Media",'Mapa final GC'!$AL$20="Mayor"),CONCATENATE("R2C",'Mapa final GC'!$S$20),"")</f>
        <v/>
      </c>
      <c r="AH32" s="34" t="e">
        <f>IF(AND('Mapa final GC'!#REF!="Media",'Mapa final GC'!#REF!="Mayor"),CONCATENATE("R2C",'Mapa final GC'!#REF!),"")</f>
        <v>#REF!</v>
      </c>
      <c r="AI32" s="35" t="str">
        <f>IF(AND('Mapa final GC'!$AJ$15="Media",'Mapa final GC'!$AL$15="Catastrófico"),CONCATENATE("R2C",'Mapa final GC'!$S$15),"")</f>
        <v/>
      </c>
      <c r="AJ32" s="36" t="str">
        <f>IF(AND('Mapa final GC'!$AJ$16="Media",'Mapa final GC'!$AL$16="Catastrófico"),CONCATENATE("R2C",'Mapa final GC'!$S$16),"")</f>
        <v/>
      </c>
      <c r="AK32" s="36" t="str">
        <f>IF(AND('Mapa final GC'!$AJ$17="Media",'Mapa final GC'!$AL$17="Catastrófico"),CONCATENATE("R2C",'Mapa final GC'!$S$17),"")</f>
        <v/>
      </c>
      <c r="AL32" s="36" t="str">
        <f>IF(AND('Mapa final GC'!$AJ$19="Media",'Mapa final GC'!$AL$19="Catastrófico"),CONCATENATE("R2C",'Mapa final GC'!$S$19),"")</f>
        <v/>
      </c>
      <c r="AM32" s="36" t="str">
        <f>IF(AND('Mapa final GC'!$AJ$20="Media",'Mapa final GC'!$AL$20="Catastrófico"),CONCATENATE("R2C",'Mapa final GC'!$S$20),"")</f>
        <v/>
      </c>
      <c r="AN32" s="37" t="e">
        <f>IF(AND('Mapa final GC'!#REF!="Media",'Mapa final GC'!#REF!="Catastrófico"),CONCATENATE("R2C",'Mapa final GC'!#REF!),"")</f>
        <v>#REF!</v>
      </c>
      <c r="AO32" s="69"/>
      <c r="AP32" s="815" t="s">
        <v>79</v>
      </c>
      <c r="AQ32" s="816"/>
      <c r="AR32" s="816"/>
      <c r="AS32" s="816"/>
      <c r="AT32" s="816"/>
      <c r="AU32" s="817"/>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row>
    <row r="33" spans="2:77" ht="15" customHeight="1" x14ac:dyDescent="0.25">
      <c r="B33" s="69"/>
      <c r="C33" s="679"/>
      <c r="D33" s="679"/>
      <c r="E33" s="680"/>
      <c r="F33" s="793"/>
      <c r="G33" s="779"/>
      <c r="H33" s="779"/>
      <c r="I33" s="779"/>
      <c r="J33" s="780"/>
      <c r="K33" s="53" t="str">
        <f>IF(AND('Mapa final GC'!$AJ$21="Media",'Mapa final GC'!$AL$21="Leve"),CONCATENATE("R2C",'Mapa final GC'!$S$21),"")</f>
        <v/>
      </c>
      <c r="L33" s="54" t="str">
        <f>IF(AND('Mapa final GC'!$AJ$22="Media",'Mapa final GC'!$AL$22="Leve"),CONCATENATE("R2C",'Mapa final GC'!$S$22),"")</f>
        <v/>
      </c>
      <c r="M33" s="54" t="str">
        <f>IF(AND('Mapa final GC'!$AJ$23="Media",'Mapa final GC'!$AL$23="Leve"),CONCATENATE("R2C",'Mapa final GC'!$S$23),"")</f>
        <v/>
      </c>
      <c r="N33" s="54" t="str">
        <f>IF(AND('Mapa final GC'!$AJ$24="Media",'Mapa final GC'!$AL$24="Leve"),CONCATENATE("R2C",'Mapa final GC'!$S$24),"")</f>
        <v/>
      </c>
      <c r="O33" s="54" t="str">
        <f>IF(AND('Mapa final GC'!$AJ$25="Media",'Mapa final GC'!$AL$25="Leve"),CONCATENATE("R2C",'Mapa final GC'!$S$25),"")</f>
        <v/>
      </c>
      <c r="P33" s="55" t="str">
        <f>IF(AND('Mapa final GC'!$AJ$26="Media",'Mapa final GC'!$AL$26="Leve"),CONCATENATE("R2C",'Mapa final GC'!$S$26),"")</f>
        <v/>
      </c>
      <c r="Q33" s="54" t="str">
        <f>IF(AND('Mapa final GC'!$AJ$22="Media",'Mapa final GC'!$AL$22="Menor"),CONCATENATE("R2C",'Mapa final GC'!$S$22),"")</f>
        <v/>
      </c>
      <c r="R33" s="54" t="str">
        <f>IF(AND('Mapa final GC'!$AJ$22="Media",'Mapa final GC'!$AL$22="Menor"),CONCATENATE("R2C",'Mapa final GC'!$S$22),"")</f>
        <v/>
      </c>
      <c r="S33" s="54" t="str">
        <f>IF(AND('Mapa final GC'!$AJ$23="Media",'Mapa final GC'!$AL$23="Menor"),CONCATENATE("R2C",'Mapa final GC'!$S$23),"")</f>
        <v/>
      </c>
      <c r="T33" s="54" t="str">
        <f>IF(AND('Mapa final GC'!$AJ$24="Media",'Mapa final GC'!$AL$24="Menor"),CONCATENATE("R2C",'Mapa final GC'!$S$24),"")</f>
        <v/>
      </c>
      <c r="U33" s="54" t="str">
        <f>IF(AND('Mapa final GC'!$AJ$25="Media",'Mapa final GC'!$AL$25="Menor"),CONCATENATE("R2C",'Mapa final GC'!$S$25),"")</f>
        <v/>
      </c>
      <c r="V33" s="55" t="str">
        <f>IF(AND('Mapa final GC'!$AJ$26="Media",'Mapa final GC'!$AL$26="Menor"),CONCATENATE("R2C",'Mapa final GC'!$S$26),"")</f>
        <v/>
      </c>
      <c r="W33" s="53" t="str">
        <f>IF(AND('Mapa final GC'!$AJ$21="Media",'Mapa final GC'!$AL$21="Moderado"),CONCATENATE("R2C",'Mapa final GC'!$S$21),"")</f>
        <v/>
      </c>
      <c r="X33" s="54" t="str">
        <f>IF(AND('Mapa final GC'!$AJ$22="Media",'Mapa final GC'!$AL$22="Moderado"),CONCATENATE("R2C",'Mapa final GC'!$S$22),"")</f>
        <v/>
      </c>
      <c r="Y33" s="54" t="str">
        <f>IF(AND('Mapa final GC'!$AJ$23="Media",'Mapa final GC'!$AL$23="Moderado"),CONCATENATE("R2C",'Mapa final GC'!$S$23),"")</f>
        <v/>
      </c>
      <c r="Z33" s="54" t="str">
        <f>IF(AND('Mapa final GC'!$AJ$24="Media",'Mapa final GC'!$AL$24="Moderado"),CONCATENATE("R2C",'Mapa final GC'!$S$24),"")</f>
        <v/>
      </c>
      <c r="AA33" s="54" t="str">
        <f>IF(AND('Mapa final GC'!$AJ$25="Media",'Mapa final GC'!$AL$25="Moderado"),CONCATENATE("R2C",'Mapa final GC'!$S$25),"")</f>
        <v/>
      </c>
      <c r="AB33" s="55" t="str">
        <f>IF(AND('Mapa final GC'!$AJ$26="Media",'Mapa final GC'!$AL$26="Moderado"),CONCATENATE("R2C",'Mapa final GC'!$S$26),"")</f>
        <v/>
      </c>
      <c r="AC33" s="38" t="str">
        <f>IF(AND('Mapa final SI'!$AJ$22="Media",'Mapa final SI'!$AL$22="Mayor"),CONCATENATE("R2C",'Mapa final SI'!$D$22),"")</f>
        <v>R2C2SI</v>
      </c>
      <c r="AD33" s="39" t="str">
        <f>IF(AND('Mapa final GC'!$AJ$22="Muy Alta",'Mapa final GC'!$AL$22="Mayor"),CONCATENATE("R2C",'Mapa final GC'!$S$22),"")</f>
        <v/>
      </c>
      <c r="AE33" s="39" t="str">
        <f>IF(AND('Mapa final GC'!$AJ$23="Media",'Mapa final GC'!$AL$23="Mayor"),CONCATENATE("R2C",'Mapa final GC'!$S$23),"")</f>
        <v/>
      </c>
      <c r="AF33" s="39" t="str">
        <f>IF(AND('Mapa final GC'!$AJ$24="Media",'Mapa final GC'!$AL$24="Mayor"),CONCATENATE("R2C",'Mapa final GC'!$S$24),"")</f>
        <v/>
      </c>
      <c r="AG33" s="39" t="str">
        <f>IF(AND('Mapa final GC'!$AJ$25="Media",'Mapa final GC'!$AL$25="Mayor"),CONCATENATE("R2C",'Mapa final GC'!$S$25),"")</f>
        <v/>
      </c>
      <c r="AH33" s="40" t="str">
        <f>IF(AND('Mapa final GC'!$AJ$26="Media",'Mapa final GC'!$AL$26="Mayor"),CONCATENATE("R2C",'Mapa final GC'!$S$26),"")</f>
        <v/>
      </c>
      <c r="AI33" s="41" t="str">
        <f>IF(AND('Mapa final GC'!$AJ$21="Media",'Mapa final GC'!$AL$21="Catastrófico"),CONCATENATE("R2C",'Mapa final GC'!$S$21),"")</f>
        <v/>
      </c>
      <c r="AJ33" s="42" t="str">
        <f>IF(AND('Mapa final GC'!$AJ$22="Media",'Mapa final GC'!$AL$22="Catastrófico"),CONCATENATE("R2C",'Mapa final GC'!$S$22),"")</f>
        <v/>
      </c>
      <c r="AK33" s="42" t="str">
        <f>IF(AND('Mapa final GC'!$AJ$23="Media",'Mapa final GC'!$AL$23="Catastrófico"),CONCATENATE("R2C",'Mapa final GC'!$S$23),"")</f>
        <v/>
      </c>
      <c r="AL33" s="42" t="str">
        <f>IF(AND('Mapa final GC'!$AJ$24="Media",'Mapa final GC'!$AL$24="Catastrófico"),CONCATENATE("R2C",'Mapa final GC'!$S$24),"")</f>
        <v/>
      </c>
      <c r="AM33" s="42" t="str">
        <f>IF(AND('Mapa final GC'!$AJ$25="Media",'Mapa final GC'!$AL$25="Catastrófico"),CONCATENATE("R2C",'Mapa final GC'!$S$25),"")</f>
        <v/>
      </c>
      <c r="AN33" s="43" t="str">
        <f>IF(AND('Mapa final GC'!$AJ$26="Media",'Mapa final GC'!$AL$26="Catastrófico"),CONCATENATE("R2C",'Mapa final GC'!$S$26),"")</f>
        <v/>
      </c>
      <c r="AO33" s="69"/>
      <c r="AP33" s="818"/>
      <c r="AQ33" s="819"/>
      <c r="AR33" s="819"/>
      <c r="AS33" s="819"/>
      <c r="AT33" s="819"/>
      <c r="AU33" s="820"/>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row>
    <row r="34" spans="2:77" ht="15" customHeight="1" x14ac:dyDescent="0.25">
      <c r="B34" s="69"/>
      <c r="C34" s="679"/>
      <c r="D34" s="679"/>
      <c r="E34" s="680"/>
      <c r="F34" s="778"/>
      <c r="G34" s="779"/>
      <c r="H34" s="779"/>
      <c r="I34" s="779"/>
      <c r="J34" s="780"/>
      <c r="K34" s="53" t="str">
        <f>IF(AND('Mapa final GC'!$AJ$27="Media",'Mapa final GC'!$AL$27="Leve"),CONCATENATE("R2C",'Mapa final GC'!$S$27),"")</f>
        <v/>
      </c>
      <c r="L34" s="54" t="str">
        <f>IF(AND('Mapa final GC'!$AJ$28="Media",'Mapa final GC'!$AL$28="Leve"),CONCATENATE("R2C",'Mapa final GC'!$S$28),"")</f>
        <v/>
      </c>
      <c r="M34" s="54" t="str">
        <f>IF(AND('Mapa final GC'!$AJ$29="Media",'Mapa final GC'!$AL$29="Leve"),CONCATENATE("R2C",'Mapa final GC'!$S$29),"")</f>
        <v/>
      </c>
      <c r="N34" s="54" t="str">
        <f>IF(AND('Mapa final GC'!$AJ$30="Media",'Mapa final GC'!$AL$30="Leve"),CONCATENATE("R2C",'Mapa final GC'!$S$30),"")</f>
        <v/>
      </c>
      <c r="O34" s="54" t="str">
        <f>IF(AND('Mapa final GC'!$AJ$31="Media",'Mapa final GC'!$AL$31="Leve"),CONCATENATE("R2C",'Mapa final GC'!$S$31),"")</f>
        <v/>
      </c>
      <c r="P34" s="55" t="str">
        <f>IF(AND('Mapa final GC'!$AJ$32="Media",'Mapa final GC'!$AL$32="Leve"),CONCATENATE("R2C",'Mapa final GC'!$S$32),"")</f>
        <v/>
      </c>
      <c r="Q34" s="54" t="str">
        <f>IF(AND('Mapa final GC'!$AJ$22="Media",'Mapa final GC'!$AL$22="Menor"),CONCATENATE("R2C",'Mapa final GC'!$S$22),"")</f>
        <v/>
      </c>
      <c r="R34" s="54" t="str">
        <f>IF(AND('Mapa final GC'!$AJ$22="Media",'Mapa final GC'!$AL$22="Menor"),CONCATENATE("R2C",'Mapa final GC'!$S$22),"")</f>
        <v/>
      </c>
      <c r="S34" s="54" t="str">
        <f>IF(AND('Mapa final GC'!$AJ$29="Media",'Mapa final GC'!$AL$29="Menor"),CONCATENATE("R2C",'Mapa final GC'!$S$29),"")</f>
        <v/>
      </c>
      <c r="T34" s="54" t="str">
        <f>IF(AND('Mapa final GC'!$AJ$30="Media",'Mapa final GC'!$AL$30="Menor"),CONCATENATE("R2C",'Mapa final GC'!$S$30),"")</f>
        <v/>
      </c>
      <c r="U34" s="54" t="str">
        <f>IF(AND('Mapa final GC'!$AJ$31="Media",'Mapa final GC'!$AL$31="Menor"),CONCATENATE("R2C",'Mapa final GC'!$S$31),"")</f>
        <v/>
      </c>
      <c r="V34" s="55" t="str">
        <f>IF(AND('Mapa final GC'!$AJ$32="Media",'Mapa final GC'!$AL$32="Menor"),CONCATENATE("R2C",'Mapa final GC'!$S$32),"")</f>
        <v/>
      </c>
      <c r="W34" s="53" t="str">
        <f>IF(AND('Mapa final GC'!$AJ$27="Media",'Mapa final GC'!$AL$27="Moderado"),CONCATENATE("R2C",'Mapa final GC'!$S$27),"")</f>
        <v/>
      </c>
      <c r="X34" s="54" t="str">
        <f>IF(AND('Mapa final GC'!$AJ$28="Media",'Mapa final GC'!$AL$28="Moderado"),CONCATENATE("R2C",'Mapa final GC'!$S$28),"")</f>
        <v/>
      </c>
      <c r="Y34" s="54" t="str">
        <f>IF(AND('Mapa final GC'!$AJ$29="Media",'Mapa final GC'!$AL$29="Moderado"),CONCATENATE("R2C",'Mapa final GC'!$S$29),"")</f>
        <v/>
      </c>
      <c r="Z34" s="54" t="str">
        <f>IF(AND('Mapa final GC'!$AJ$30="Media",'Mapa final GC'!$AL$30="Moderado"),CONCATENATE("R2C",'Mapa final GC'!$S$30),"")</f>
        <v/>
      </c>
      <c r="AA34" s="54" t="str">
        <f>IF(AND('Mapa final GC'!$AJ$31="Media",'Mapa final GC'!$AL$31="Moderado"),CONCATENATE("R2C",'Mapa final GC'!$S$31),"")</f>
        <v/>
      </c>
      <c r="AB34" s="55" t="str">
        <f>IF(AND('Mapa final GC'!$AJ$32="Media",'Mapa final GC'!$AL$32="Moderado"),CONCATENATE("R2C",'Mapa final GC'!$S$32),"")</f>
        <v/>
      </c>
      <c r="AC34" s="38" t="str">
        <f>IF(AND('Mapa final GC'!$AJ$27="Media",'Mapa final GC'!$AL$27="Mayor"),CONCATENATE("R2C",'Mapa final GC'!$S$27),"")</f>
        <v/>
      </c>
      <c r="AD34" s="39" t="str">
        <f>IF(AND('Mapa final GC'!$AJ$28="Media",'Mapa final GC'!$AL$28="Mayor"),CONCATENATE("R2C",'Mapa final GC'!$S$28),"")</f>
        <v/>
      </c>
      <c r="AE34" s="39" t="str">
        <f>IF(AND('Mapa final GC'!$AJ$29="Media",'Mapa final GC'!$AL$29="Mayor"),CONCATENATE("R2C",'Mapa final GC'!$S$29),"")</f>
        <v/>
      </c>
      <c r="AF34" s="39" t="str">
        <f>IF(AND('Mapa final GC'!$AJ$30="Media",'Mapa final GC'!$AL$30="Mayor"),CONCATENATE("R2C",'Mapa final GC'!$S$30),"")</f>
        <v/>
      </c>
      <c r="AG34" s="39" t="str">
        <f>IF(AND('Mapa final GC'!$AJ$31="Media",'Mapa final GC'!$AL$31="Mayor"),CONCATENATE("R2C",'Mapa final GC'!$S$31),"")</f>
        <v/>
      </c>
      <c r="AH34" s="40" t="str">
        <f>IF(AND('Mapa final GC'!$AJ$32="Media",'Mapa final GC'!$AL$32="Mayor"),CONCATENATE("R2C",'Mapa final GC'!$S$32),"")</f>
        <v/>
      </c>
      <c r="AI34" s="41" t="str">
        <f>IF(AND('Mapa final SI'!$AJ$28="Media",'Mapa final SI'!$AL$28="Catastrófico"),CONCATENATE("R3C",'Mapa final SI'!$D$28),"")</f>
        <v>R3C3SI</v>
      </c>
      <c r="AJ34" s="42" t="str">
        <f>IF(AND('Mapa final GC'!$AJ$28="Media",'Mapa final GC'!$AL$28="Catastrófico"),CONCATENATE("R2C",'Mapa final GC'!$S$28),"")</f>
        <v/>
      </c>
      <c r="AK34" s="42" t="str">
        <f>IF(AND('Mapa final GC'!$AJ$29="Media",'Mapa final GC'!$AL$29="Catastrófico"),CONCATENATE("R2C",'Mapa final GC'!$S$29),"")</f>
        <v/>
      </c>
      <c r="AL34" s="42" t="str">
        <f>IF(AND('Mapa final GC'!$AJ$30="Media",'Mapa final GC'!$AL$30="Catastrófico"),CONCATENATE("R2C",'Mapa final GC'!$S$30),"")</f>
        <v/>
      </c>
      <c r="AM34" s="42" t="str">
        <f>IF(AND('Mapa final GC'!$AJ$31="Media",'Mapa final GC'!$AL$31="Catastrófico"),CONCATENATE("R2C",'Mapa final GC'!$S$31),"")</f>
        <v/>
      </c>
      <c r="AN34" s="43" t="str">
        <f>IF(AND('Mapa final GC'!$AJ$32="Media",'Mapa final GC'!$AL$32="Catastrófico"),CONCATENATE("R2C",'Mapa final GC'!$S$32),"")</f>
        <v/>
      </c>
      <c r="AO34" s="69"/>
      <c r="AP34" s="818"/>
      <c r="AQ34" s="819"/>
      <c r="AR34" s="819"/>
      <c r="AS34" s="819"/>
      <c r="AT34" s="819"/>
      <c r="AU34" s="820"/>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row>
    <row r="35" spans="2:77" ht="15" customHeight="1" x14ac:dyDescent="0.25">
      <c r="B35" s="69"/>
      <c r="C35" s="679"/>
      <c r="D35" s="679"/>
      <c r="E35" s="680"/>
      <c r="F35" s="778"/>
      <c r="G35" s="779"/>
      <c r="H35" s="779"/>
      <c r="I35" s="779"/>
      <c r="J35" s="780"/>
      <c r="K35" s="53" t="str">
        <f>IF(AND('Mapa final GC'!$AJ$33="Media",'Mapa final GC'!$AL$33="Leve"),CONCATENATE("R2C",'Mapa final GC'!$S$33),"")</f>
        <v/>
      </c>
      <c r="L35" s="54" t="str">
        <f>IF(AND('Mapa final GC'!$AJ$34="Media",'Mapa final GC'!$AL$34="Leve"),CONCATENATE("R2C",'Mapa final GC'!$S$34),"")</f>
        <v/>
      </c>
      <c r="M35" s="54" t="str">
        <f>IF(AND('Mapa final GC'!$AJ$35="Media",'Mapa final GC'!$AL$35="Leve"),CONCATENATE("R2C",'Mapa final GC'!$S$35),"")</f>
        <v/>
      </c>
      <c r="N35" s="54" t="str">
        <f>IF(AND('Mapa final GC'!$AJ$36="Media",'Mapa final GC'!$AL$36="Leve"),CONCATENATE("R2C",'Mapa final GC'!$S$36),"")</f>
        <v/>
      </c>
      <c r="O35" s="54" t="str">
        <f>IF(AND('Mapa final GC'!$AJ$37="Media",'Mapa final GC'!$AL$37="Leve"),CONCATENATE("R2C",'Mapa final GC'!$S$37),"")</f>
        <v/>
      </c>
      <c r="P35" s="55" t="str">
        <f>IF(AND('Mapa final GC'!$AJ$38="Media",'Mapa final GC'!$AL$38="Leve"),CONCATENATE("R2C",'Mapa final GC'!$S$38),"")</f>
        <v/>
      </c>
      <c r="Q35" s="54" t="str">
        <f>IF(AND('Mapa final SST'!$AL$18="Media",'Mapa final SST'!$AN$18="Menor"),CONCATENATE("R2C",'Mapa final SST'!$D$18),"")</f>
        <v>R2C2SST</v>
      </c>
      <c r="R35" s="54" t="str">
        <f>IF(AND('Mapa final GC'!$AJ$34="Media",'Mapa final GC'!$AL$34="Menor"),CONCATENATE("R2C",'Mapa final GC'!$S$34),"")</f>
        <v/>
      </c>
      <c r="S35" s="54" t="str">
        <f>IF(AND('Mapa final GC'!$AJ$35="Media",'Mapa final GC'!$AL$35="Menor"),CONCATENATE("R2C",'Mapa final GC'!$S$35),"")</f>
        <v/>
      </c>
      <c r="T35" s="54" t="str">
        <f>IF(AND('Mapa final GC'!$AJ$36="Media",'Mapa final GC'!$AL$36="Menor"),CONCATENATE("R2C",'Mapa final GC'!$S$36),"")</f>
        <v/>
      </c>
      <c r="U35" s="54" t="str">
        <f>IF(AND('Mapa final GC'!$AJ$37="Media",'Mapa final GC'!$AL$37="LMenor"),CONCATENATE("R2C",'Mapa final GC'!$S$37),"")</f>
        <v/>
      </c>
      <c r="V35" s="55" t="str">
        <f>IF(AND('Mapa final GC'!$AJ$38="Media",'Mapa final GC'!$AL$38="Menor"),CONCATENATE("R2C",'Mapa final GC'!$S$38),"")</f>
        <v/>
      </c>
      <c r="W35" s="54" t="str">
        <f>IF(AND('Mapa final SST'!$AL$20="Media",'Mapa final SST'!$AN$20="mODERADO"),CONCATENATE("R3C",'Mapa final SST'!$D$20),"")</f>
        <v>R3C3SST</v>
      </c>
      <c r="X35" s="54" t="str">
        <f>IF(AND('Mapa final GC'!$AJ$34="Media",'Mapa final GC'!$AL$34="Moderado"),CONCATENATE("R2C",'Mapa final GC'!$S$34),"")</f>
        <v/>
      </c>
      <c r="Y35" s="54" t="str">
        <f>IF(AND('Mapa final GC'!$AJ$35="Media",'Mapa final GC'!$AL$35="Moderado"),CONCATENATE("R2C",'Mapa final GC'!$S$35),"")</f>
        <v/>
      </c>
      <c r="Z35" s="54" t="str">
        <f>IF(AND('Mapa final GC'!$AJ$36="Media",'Mapa final GC'!$AL$36="Moderado"),CONCATENATE("R2C",'Mapa final GC'!$S$36),"")</f>
        <v/>
      </c>
      <c r="AA35" s="54" t="str">
        <f>IF(AND('Mapa final GC'!$AJ$37="Media",'Mapa final GC'!$AL$37="Moderado"),CONCATENATE("R2C",'Mapa final GC'!$S$37),"")</f>
        <v/>
      </c>
      <c r="AB35" s="55" t="str">
        <f>IF(AND('Mapa final GC'!$AJ$38="Media",'Mapa final GC'!$AL$38="Moderado"),CONCATENATE("R2C",'Mapa final GC'!$S$38),"")</f>
        <v/>
      </c>
      <c r="AC35" s="38" t="str">
        <f>IF(AND('Mapa final GC'!$AJ$33="Media",'Mapa final GC'!$AL$33="Mayor"),CONCATENATE("R2C",'Mapa final GC'!$S$33),"")</f>
        <v/>
      </c>
      <c r="AD35" s="39" t="str">
        <f>IF(AND('Mapa final GC'!$AJ$34="Media",'Mapa final GC'!$AL$34="Mayor"),CONCATENATE("R2C",'Mapa final GC'!$S$34),"")</f>
        <v/>
      </c>
      <c r="AE35" s="39" t="str">
        <f>IF(AND('Mapa final GC'!$AJ$35="Media",'Mapa final GC'!$AL$35="Mayor"),CONCATENATE("R2C",'Mapa final GC'!$S$35),"")</f>
        <v/>
      </c>
      <c r="AF35" s="39" t="str">
        <f>IF(AND('Mapa final GC'!$AJ$36="Media",'Mapa final GC'!$AL$36="Mayor"),CONCATENATE("R2C",'Mapa final GC'!$S$36),"")</f>
        <v/>
      </c>
      <c r="AG35" s="39" t="str">
        <f>IF(AND('Mapa final GC'!$AJ$37="Media",'Mapa final GC'!$AL$37="Mayor"),CONCATENATE("R2C",'Mapa final GC'!$S$37),"")</f>
        <v/>
      </c>
      <c r="AH35" s="40" t="str">
        <f>IF(AND('Mapa final GC'!$AJ$38="Media",'Mapa final GC'!$AL$38="Mayor"),CONCATENATE("R2C",'Mapa final GC'!$S$38),"")</f>
        <v/>
      </c>
      <c r="AI35" s="41" t="str">
        <f>IF(AND('Mapa final GC'!$AJ$33="Media",'Mapa final GC'!$AL$33="Catastrófico"),CONCATENATE("R2C",'Mapa final GC'!$S$33),"")</f>
        <v/>
      </c>
      <c r="AJ35" s="42" t="str">
        <f>IF(AND('Mapa final GC'!$AJ$34="Media",'Mapa final GC'!$AL$34="Catastrófico"),CONCATENATE("R2C",'Mapa final GC'!$S$34),"")</f>
        <v/>
      </c>
      <c r="AK35" s="42" t="str">
        <f>IF(AND('Mapa final GC'!$AJ$35="Media",'Mapa final GC'!$AL$35="Catastrófico"),CONCATENATE("R2C",'Mapa final GC'!$S$35),"")</f>
        <v/>
      </c>
      <c r="AL35" s="42" t="str">
        <f>IF(AND('Mapa final GC'!$AJ$36="Media",'Mapa final GC'!$AL$36="Catastrófico"),CONCATENATE("R2C",'Mapa final GC'!$S$36),"")</f>
        <v/>
      </c>
      <c r="AM35" s="42" t="str">
        <f>IF(AND('Mapa final GC'!$AJ$37="Media",'Mapa final GC'!$AL$37="LCatastrófico"),CONCATENATE("R2C",'Mapa final GC'!$S$37),"")</f>
        <v/>
      </c>
      <c r="AN35" s="43" t="str">
        <f>IF(AND('Mapa final GC'!$AJ$38="Media",'Mapa final GC'!$AL$38="Catastrófico"),CONCATENATE("R2C",'Mapa final GC'!$S$38),"")</f>
        <v/>
      </c>
      <c r="AO35" s="69"/>
      <c r="AP35" s="818"/>
      <c r="AQ35" s="819"/>
      <c r="AR35" s="819"/>
      <c r="AS35" s="819"/>
      <c r="AT35" s="819"/>
      <c r="AU35" s="820"/>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row>
    <row r="36" spans="2:77" ht="15" customHeight="1" x14ac:dyDescent="0.25">
      <c r="B36" s="69"/>
      <c r="C36" s="679"/>
      <c r="D36" s="679"/>
      <c r="E36" s="680"/>
      <c r="F36" s="778"/>
      <c r="G36" s="779"/>
      <c r="H36" s="779"/>
      <c r="I36" s="779"/>
      <c r="J36" s="780"/>
      <c r="K36" s="53" t="str">
        <f>IF(AND('Mapa final GC'!$AJ$39="Media",'Mapa final GC'!$AL$39="Leve"),CONCATENATE("R2C",'Mapa final GC'!$S$39),"")</f>
        <v/>
      </c>
      <c r="L36" s="54" t="str">
        <f>IF(AND('Mapa final GC'!$AJ$40="Media",'Mapa final GC'!$AL$40="Leve"),CONCATENATE("R2C",'Mapa final GC'!$S$40),"")</f>
        <v/>
      </c>
      <c r="M36" s="54" t="str">
        <f>IF(AND('Mapa final GC'!$AJ$41="Media",'Mapa final GC'!$AL$41="Leve"),CONCATENATE("R2C",'Mapa final GC'!$S$41),"")</f>
        <v/>
      </c>
      <c r="N36" s="54" t="str">
        <f>IF(AND('Mapa final GC'!$AJ$42="Media",'Mapa final GC'!$AL$42="Leve"),CONCATENATE("R2C",'Mapa final GC'!$S$42),"")</f>
        <v/>
      </c>
      <c r="O36" s="54" t="str">
        <f>IF(AND('Mapa final GC'!$AJ$43="Media",'Mapa final GC'!$AL$43="Leve"),CONCATENATE("R2C",'Mapa final GC'!$S$43),"")</f>
        <v/>
      </c>
      <c r="P36" s="55" t="str">
        <f>IF(AND('Mapa final GC'!$AJ$44="Media",'Mapa final GC'!$AL$44="Leve"),CONCATENATE("R2C",'Mapa final GC'!$S$44),"")</f>
        <v/>
      </c>
      <c r="Q36" s="53" t="str">
        <f>IF(AND('Mapa final GC'!$AJ$39="Media",'Mapa final GC'!$AL$39="Menor"),CONCATENATE("R2C",'Mapa final GC'!$S$39),"")</f>
        <v/>
      </c>
      <c r="R36" s="54" t="str">
        <f>IF(AND('Mapa final GC'!$AJ$40="Media",'Mapa final GC'!$AL$40="Menor"),CONCATENATE("R2C",'Mapa final GC'!$S$40),"")</f>
        <v/>
      </c>
      <c r="S36" s="54" t="str">
        <f>IF(AND('Mapa final GC'!$AJ$41="Media",'Mapa final GC'!$AL$41="Menor"),CONCATENATE("R2C",'Mapa final GC'!$S$41),"")</f>
        <v/>
      </c>
      <c r="T36" s="54" t="str">
        <f>IF(AND('Mapa final GC'!$AJ$42="Media",'Mapa final GC'!$AL$42="Menor"),CONCATENATE("R2C",'Mapa final GC'!$S$42),"")</f>
        <v/>
      </c>
      <c r="U36" s="54" t="str">
        <f>IF(AND('Mapa final GC'!$AJ$43="Media",'Mapa final GC'!$AL$43="Menor"),CONCATENATE("R2C",'Mapa final GC'!$S$43),"")</f>
        <v/>
      </c>
      <c r="V36" s="55" t="str">
        <f>IF(AND('Mapa final GC'!$AJ$44="Media",'Mapa final GC'!$AL$44="Menor"),CONCATENATE("R2C",'Mapa final GC'!$S$44),"")</f>
        <v/>
      </c>
      <c r="W36" s="53" t="str">
        <f>IF(AND('Mapa final GC'!$AJ$39="Media",'Mapa final GC'!$AL$39="Moderado"),CONCATENATE("R2C",'Mapa final GC'!$S$39),"")</f>
        <v/>
      </c>
      <c r="X36" s="54" t="str">
        <f>IF(AND('Mapa final GC'!$AJ$40="Media",'Mapa final GC'!$AL$40="Moderado"),CONCATENATE("R2C",'Mapa final GC'!$S$40),"")</f>
        <v/>
      </c>
      <c r="Y36" s="54" t="str">
        <f>IF(AND('Mapa final GC'!$AJ$41="Media",'Mapa final GC'!$AL$41="Moderado"),CONCATENATE("R2C",'Mapa final GC'!$S$41),"")</f>
        <v/>
      </c>
      <c r="Z36" s="54" t="str">
        <f>IF(AND('Mapa final GC'!$AJ$42="Media",'Mapa final GC'!$AL$42="Moderado"),CONCATENATE("R2C",'Mapa final GC'!$S$42),"")</f>
        <v/>
      </c>
      <c r="AA36" s="54" t="str">
        <f>IF(AND('Mapa final GC'!$AJ$43="Media",'Mapa final GC'!$AL$43="Moderado"),CONCATENATE("R2C",'Mapa final GC'!$S$43),"")</f>
        <v/>
      </c>
      <c r="AB36" s="55" t="str">
        <f>IF(AND('Mapa final GC'!$AJ$44="Media",'Mapa final GC'!$AL$44="Moderado"),CONCATENATE("R2C",'Mapa final GC'!$S$44),"")</f>
        <v/>
      </c>
      <c r="AC36" s="38" t="str">
        <f>IF(AND('Mapa final GC'!$AJ$39="Media",'Mapa final GC'!$AL$39="Mayor"),CONCATENATE("R2C",'Mapa final GC'!$S$39),"")</f>
        <v/>
      </c>
      <c r="AD36" s="39" t="str">
        <f>IF(AND('Mapa final GC'!$AJ$40="Media",'Mapa final GC'!$AL$40="Mayor"),CONCATENATE("R2C",'Mapa final GC'!$S$40),"")</f>
        <v/>
      </c>
      <c r="AE36" s="39" t="str">
        <f>IF(AND('Mapa final GC'!$AJ$41="Media",'Mapa final GC'!$AL$41="Mayor"),CONCATENATE("R2C",'Mapa final GC'!$S$41),"")</f>
        <v/>
      </c>
      <c r="AF36" s="39" t="str">
        <f>IF(AND('Mapa final GC'!$AJ$42="Media",'Mapa final GC'!$AL$42="Mayor"),CONCATENATE("R2C",'Mapa final GC'!$S$42),"")</f>
        <v/>
      </c>
      <c r="AG36" s="39" t="str">
        <f>IF(AND('Mapa final GC'!$AJ$43="Media",'Mapa final GC'!$AL$43="Mayor"),CONCATENATE("R2C",'Mapa final GC'!$S$43),"")</f>
        <v/>
      </c>
      <c r="AH36" s="40" t="str">
        <f>IF(AND('Mapa final GC'!$AJ$44="Media",'Mapa final GC'!$AL$44="Mayor"),CONCATENATE("R2C",'Mapa final GC'!$S$44),"")</f>
        <v/>
      </c>
      <c r="AI36" s="41" t="str">
        <f>IF(AND('Mapa final GC'!$AJ$39="Media",'Mapa final GC'!$AL$39="Catastrófico"),CONCATENATE("R2C",'Mapa final GC'!$S$39),"")</f>
        <v/>
      </c>
      <c r="AJ36" s="42" t="str">
        <f>IF(AND('Mapa final GC'!$AJ$40="Media",'Mapa final GC'!$AL$40="Catastrófico"),CONCATENATE("R2C",'Mapa final GC'!$S$40),"")</f>
        <v/>
      </c>
      <c r="AK36" s="42" t="str">
        <f>IF(AND('Mapa final GC'!$AJ$41="Media",'Mapa final GC'!$AL$41="Catastrófico"),CONCATENATE("R2C",'Mapa final GC'!$S$41),"")</f>
        <v/>
      </c>
      <c r="AL36" s="42" t="str">
        <f>IF(AND('Mapa final GC'!$AJ$42="Media",'Mapa final GC'!$AL$42="Catastrófico"),CONCATENATE("R2C",'Mapa final GC'!$S$42),"")</f>
        <v/>
      </c>
      <c r="AM36" s="42" t="str">
        <f>IF(AND('Mapa final GC'!$AJ$43="Media",'Mapa final GC'!$AL$43="Catastrófico"),CONCATENATE("R2C",'Mapa final GC'!$S$43),"")</f>
        <v/>
      </c>
      <c r="AN36" s="43" t="str">
        <f>IF(AND('Mapa final GC'!$AJ$44="Media",'Mapa final GC'!$AL$44="Catastrófico"),CONCATENATE("R2C",'Mapa final GC'!$S$44),"")</f>
        <v/>
      </c>
      <c r="AO36" s="69"/>
      <c r="AP36" s="818"/>
      <c r="AQ36" s="819"/>
      <c r="AR36" s="819"/>
      <c r="AS36" s="819"/>
      <c r="AT36" s="819"/>
      <c r="AU36" s="820"/>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row>
    <row r="37" spans="2:77" ht="15" customHeight="1" x14ac:dyDescent="0.25">
      <c r="B37" s="69"/>
      <c r="C37" s="679"/>
      <c r="D37" s="679"/>
      <c r="E37" s="680"/>
      <c r="F37" s="778"/>
      <c r="G37" s="779"/>
      <c r="H37" s="779"/>
      <c r="I37" s="779"/>
      <c r="J37" s="780"/>
      <c r="K37" s="53" t="str">
        <f>IF(AND('Mapa final GC'!$AJ$45="Media",'Mapa final GC'!$AL$45="Leve"),CONCATENATE("R2C",'Mapa final GC'!$S$45),"")</f>
        <v/>
      </c>
      <c r="L37" s="54" t="str">
        <f>IF(AND('Mapa final GC'!$AJ$46="Media",'Mapa final GC'!$AL$46="Leve"),CONCATENATE("R2C",'Mapa final GC'!$S$46),"")</f>
        <v/>
      </c>
      <c r="M37" s="54" t="str">
        <f>IF(AND('Mapa final GC'!$AJ$47="Media",'Mapa final GC'!$AL$47="Leve"),CONCATENATE("R2C",'Mapa final GC'!$S$47),"")</f>
        <v/>
      </c>
      <c r="N37" s="54" t="str">
        <f>IF(AND('Mapa final GC'!$AJ$48="Media",'Mapa final GC'!$AL$48="Leve"),CONCATENATE("R2C",'Mapa final GC'!$S$48),"")</f>
        <v/>
      </c>
      <c r="O37" s="54" t="str">
        <f>IF(AND('Mapa final GC'!$AJ$49="Media",'Mapa final GC'!$AL$49="Leve"),CONCATENATE("R2C",'Mapa final GC'!$S$49),"")</f>
        <v/>
      </c>
      <c r="P37" s="55" t="str">
        <f>IF(AND('Mapa final GC'!$AJ$60="Media",'Mapa final GC'!$AL$50="Leve"),CONCATENATE("R2C",'Mapa final GC'!$S$50),"")</f>
        <v/>
      </c>
      <c r="Q37" s="53" t="str">
        <f>IF(AND('Mapa final GC'!$AJ$45="Media",'Mapa final GC'!$AL$45="Menor"),CONCATENATE("R2C",'Mapa final GC'!$S$45),"")</f>
        <v/>
      </c>
      <c r="R37" s="54" t="str">
        <f>IF(AND('Mapa final GC'!$AJ$46="Media",'Mapa final GC'!$AL$46="Menor"),CONCATENATE("R2C",'Mapa final GC'!$S$46),"")</f>
        <v/>
      </c>
      <c r="S37" s="54" t="str">
        <f>IF(AND('Mapa final GC'!$AJ$47="Media",'Mapa final GC'!$AL$47="Menor"),CONCATENATE("R2C",'Mapa final GC'!$S$47),"")</f>
        <v/>
      </c>
      <c r="T37" s="54" t="str">
        <f>IF(AND('Mapa final GC'!$AJ$48="Media",'Mapa final GC'!$AL$48="Menor"),CONCATENATE("R2C",'Mapa final GC'!$S$48),"")</f>
        <v/>
      </c>
      <c r="U37" s="54" t="str">
        <f>IF(AND('Mapa final GC'!$AJ$49="Media",'Mapa final GC'!$AL$49="Menor"),CONCATENATE("R2C",'Mapa final GC'!$S$49),"")</f>
        <v/>
      </c>
      <c r="V37" s="55" t="str">
        <f>IF(AND('Mapa final GC'!$AJ$60="Media",'Mapa final GC'!$AL$50="Menor"),CONCATENATE("R2C",'Mapa final GC'!$S$50),"")</f>
        <v/>
      </c>
      <c r="W37" s="53" t="str">
        <f>IF(AND('Mapa final GC'!$AJ$45="Media",'Mapa final GC'!$AL$45="Moderado"),CONCATENATE("R2C",'Mapa final GC'!$S$45),"")</f>
        <v/>
      </c>
      <c r="X37" s="54" t="str">
        <f>IF(AND('Mapa final GC'!$AJ$46="Media",'Mapa final GC'!$AL$46="Moderado"),CONCATENATE("R2C",'Mapa final GC'!$S$46),"")</f>
        <v/>
      </c>
      <c r="Y37" s="54" t="str">
        <f>IF(AND('Mapa final GC'!$AJ$47="Media",'Mapa final GC'!$AL$47="Moderado"),CONCATENATE("R2C",'Mapa final GC'!$S$47),"")</f>
        <v/>
      </c>
      <c r="Z37" s="54" t="str">
        <f>IF(AND('Mapa final GC'!$AJ$48="Media",'Mapa final GC'!$AL$48="Moderado"),CONCATENATE("R2C",'Mapa final GC'!$S$48),"")</f>
        <v/>
      </c>
      <c r="AA37" s="54" t="str">
        <f>IF(AND('Mapa final GC'!$AJ$49="Media",'Mapa final GC'!$AL$49="Moderado"),CONCATENATE("R2C",'Mapa final GC'!$S$49),"")</f>
        <v/>
      </c>
      <c r="AB37" s="55" t="str">
        <f>IF(AND('Mapa final GC'!$AJ$60="Media",'Mapa final GC'!$AL$50="Moderado"),CONCATENATE("R2C",'Mapa final GC'!$S$50),"")</f>
        <v/>
      </c>
      <c r="AC37" s="38" t="str">
        <f>IF(AND('Mapa final GC'!$AJ$45="Media",'Mapa final GC'!$AL$45="Mayor"),CONCATENATE("R2C",'Mapa final GC'!$S$45),"")</f>
        <v/>
      </c>
      <c r="AD37" s="39" t="str">
        <f>IF(AND('Mapa final GC'!$AJ$46="Media",'Mapa final GC'!$AL$46="Mayor"),CONCATENATE("R2C",'Mapa final GC'!$S$46),"")</f>
        <v/>
      </c>
      <c r="AE37" s="39" t="str">
        <f>IF(AND('Mapa final GC'!$AJ$47="Media",'Mapa final GC'!$AL$47="Mayor"),CONCATENATE("R2C",'Mapa final GC'!$S$47),"")</f>
        <v/>
      </c>
      <c r="AF37" s="39" t="str">
        <f>IF(AND('Mapa final GC'!$AJ$48="Media",'Mapa final GC'!$AL$48="Mayor"),CONCATENATE("R2C",'Mapa final GC'!$S$48),"")</f>
        <v/>
      </c>
      <c r="AG37" s="39" t="str">
        <f>IF(AND('Mapa final GC'!$AJ$49="Media",'Mapa final GC'!$AL$49="Mayor"),CONCATENATE("R2C",'Mapa final GC'!$S$49),"")</f>
        <v/>
      </c>
      <c r="AH37" s="40" t="str">
        <f>IF(AND('Mapa final GC'!$AJ$60="Media",'Mapa final GC'!$AL$50="Mayor"),CONCATENATE("R2C",'Mapa final GC'!$S$50),"")</f>
        <v/>
      </c>
      <c r="AI37" s="41" t="str">
        <f>IF(AND('Mapa final GC'!$AJ$45="Media",'Mapa final GC'!$AL$45="Catastrófico"),CONCATENATE("R2C",'Mapa final GC'!$S$45),"")</f>
        <v/>
      </c>
      <c r="AJ37" s="42" t="str">
        <f>IF(AND('Mapa final GC'!$AJ$46="Media",'Mapa final GC'!$AL$46="Catastrófico"),CONCATENATE("R2C",'Mapa final GC'!$S$46),"")</f>
        <v/>
      </c>
      <c r="AK37" s="42" t="str">
        <f>IF(AND('Mapa final GC'!$AJ$47="Media",'Mapa final GC'!$AL$47="Catastrófico"),CONCATENATE("R2C",'Mapa final GC'!$S$47),"")</f>
        <v/>
      </c>
      <c r="AL37" s="42" t="str">
        <f>IF(AND('Mapa final GC'!$AJ$48="Media",'Mapa final GC'!$AL$48="Catastrófico"),CONCATENATE("R2C",'Mapa final GC'!$S$48),"")</f>
        <v/>
      </c>
      <c r="AM37" s="42" t="str">
        <f>IF(AND('Mapa final GC'!$AJ$49="Media",'Mapa final GC'!$AL$49="Catastrófico"),CONCATENATE("R2C",'Mapa final GC'!$S$49),"")</f>
        <v/>
      </c>
      <c r="AN37" s="43" t="str">
        <f>IF(AND('Mapa final GC'!$AJ$60="Media",'Mapa final GC'!$AL$50="Catastrófico"),CONCATENATE("R2C",'Mapa final GC'!$S$50),"")</f>
        <v/>
      </c>
      <c r="AO37" s="69"/>
      <c r="AP37" s="818"/>
      <c r="AQ37" s="819"/>
      <c r="AR37" s="819"/>
      <c r="AS37" s="819"/>
      <c r="AT37" s="819"/>
      <c r="AU37" s="820"/>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row>
    <row r="38" spans="2:77" ht="15" customHeight="1" x14ac:dyDescent="0.25">
      <c r="B38" s="69"/>
      <c r="C38" s="679"/>
      <c r="D38" s="679"/>
      <c r="E38" s="680"/>
      <c r="F38" s="778"/>
      <c r="G38" s="779"/>
      <c r="H38" s="779"/>
      <c r="I38" s="779"/>
      <c r="J38" s="780"/>
      <c r="K38" s="53" t="str">
        <f>IF(AND('Mapa final GC'!$AJ$51="Media",'Mapa final GC'!$AL$51="Leve"),CONCATENATE("R2C",'Mapa final GC'!$S$51),"")</f>
        <v/>
      </c>
      <c r="L38" s="54" t="str">
        <f>IF(AND('Mapa final GC'!$AJ$52="Media",'Mapa final GC'!$AL$52="Leve"),CONCATENATE("R2C",'Mapa final GC'!$S$52),"")</f>
        <v/>
      </c>
      <c r="M38" s="54" t="str">
        <f>IF(AND('Mapa final GC'!$AJ$53="Media",'Mapa final GC'!$AL$53="Leve"),CONCATENATE("R2C",'Mapa final GC'!$S$53),"")</f>
        <v/>
      </c>
      <c r="N38" s="54" t="str">
        <f>IF(AND('Mapa final GC'!$AJ$54="Media",'Mapa final GC'!$AL$54="Leve"),CONCATENATE("R2C",'Mapa final GC'!$S$54),"")</f>
        <v/>
      </c>
      <c r="O38" s="54" t="str">
        <f>IF(AND('Mapa final GC'!$AJ$55="Media",'Mapa final GC'!$AL$55="Leve"),CONCATENATE("R2C",'Mapa final GC'!$S$55),"")</f>
        <v/>
      </c>
      <c r="P38" s="55" t="str">
        <f>IF(AND('Mapa final GC'!$AJ$56="Media",'Mapa final GC'!$AL$56="Leve"),CONCATENATE("R2C",'Mapa final GC'!$S$56),"")</f>
        <v/>
      </c>
      <c r="Q38" s="53" t="str">
        <f>IF(AND('Mapa final GC'!$AJ$51="Media",'Mapa final GC'!$AL$51="Menor"),CONCATENATE("R2C",'Mapa final GC'!$S$51),"")</f>
        <v/>
      </c>
      <c r="R38" s="54" t="str">
        <f>IF(AND('Mapa final GC'!$AJ$52="Media",'Mapa final GC'!$AL$52="Menor"),CONCATENATE("R2C",'Mapa final GC'!$S$52),"")</f>
        <v/>
      </c>
      <c r="S38" s="54" t="str">
        <f>IF(AND('Mapa final GC'!$AJ$53="Media",'Mapa final GC'!$AL$53="Menor"),CONCATENATE("R2C",'Mapa final GC'!$S$53),"")</f>
        <v/>
      </c>
      <c r="T38" s="54" t="str">
        <f>IF(AND('Mapa final GC'!$AJ$54="Media",'Mapa final GC'!$AL$54="Menor"),CONCATENATE("R2C",'Mapa final GC'!$S$54),"")</f>
        <v/>
      </c>
      <c r="U38" s="54" t="str">
        <f>IF(AND('Mapa final GC'!$AJ$55="Media",'Mapa final GC'!$AL$55="Menor"),CONCATENATE("R2C",'Mapa final GC'!$S$55),"")</f>
        <v/>
      </c>
      <c r="V38" s="55" t="str">
        <f>IF(AND('Mapa final GC'!$AJ$56="Media",'Mapa final GC'!$AL$56="Menor"),CONCATENATE("R2C",'Mapa final GC'!$S$56),"")</f>
        <v/>
      </c>
      <c r="W38" s="53" t="str">
        <f>IF(AND('Mapa final GC'!$AJ$51="Media",'Mapa final GC'!$AL$51="Moderado"),CONCATENATE("R2C",'Mapa final GC'!$S$51),"")</f>
        <v/>
      </c>
      <c r="X38" s="54" t="str">
        <f>IF(AND('Mapa final GC'!$AJ$52="Media",'Mapa final GC'!$AL$52="Moderado"),CONCATENATE("R2C",'Mapa final GC'!$S$52),"")</f>
        <v/>
      </c>
      <c r="Y38" s="54" t="str">
        <f>IF(AND('Mapa final GC'!$AJ$53="Media",'Mapa final GC'!$AL$53="Moderado"),CONCATENATE("R2C",'Mapa final GC'!$S$53),"")</f>
        <v/>
      </c>
      <c r="Z38" s="54" t="str">
        <f>IF(AND('Mapa final GC'!$AJ$54="Media",'Mapa final GC'!$AL$54="Moderado"),CONCATENATE("R2C",'Mapa final GC'!$S$54),"")</f>
        <v/>
      </c>
      <c r="AA38" s="54" t="str">
        <f>IF(AND('Mapa final GC'!$AJ$55="Media",'Mapa final GC'!$AL$55="Moderado"),CONCATENATE("R2C",'Mapa final GC'!$S$55),"")</f>
        <v/>
      </c>
      <c r="AB38" s="55" t="str">
        <f>IF(AND('Mapa final GC'!$AJ$56="Media",'Mapa final GC'!$AL$56="Moderado"),CONCATENATE("R2C",'Mapa final GC'!$S$56),"")</f>
        <v/>
      </c>
      <c r="AC38" s="38" t="str">
        <f>IF(AND('Mapa final GC'!$AJ$51="Media",'Mapa final GC'!$AL$51="Mayor"),CONCATENATE("R2C",'Mapa final GC'!$S$51),"")</f>
        <v/>
      </c>
      <c r="AD38" s="39" t="str">
        <f>IF(AND('Mapa final GC'!$AJ$52="Media",'Mapa final GC'!$AL$52="Mayor"),CONCATENATE("R2C",'Mapa final GC'!$S$52),"")</f>
        <v/>
      </c>
      <c r="AE38" s="39" t="str">
        <f>IF(AND('Mapa final GC'!$AJ$53="Media",'Mapa final GC'!$AL$53="Mayor"),CONCATENATE("R2C",'Mapa final GC'!$S$53),"")</f>
        <v/>
      </c>
      <c r="AF38" s="39" t="str">
        <f>IF(AND('Mapa final GC'!$AJ$54="Media",'Mapa final GC'!$AL$54="Mayor"),CONCATENATE("R2C",'Mapa final GC'!$S$54),"")</f>
        <v/>
      </c>
      <c r="AG38" s="39" t="str">
        <f>IF(AND('Mapa final GC'!$AJ$55="Media",'Mapa final GC'!$AL$55="Mayor"),CONCATENATE("R2C",'Mapa final GC'!$S$55),"")</f>
        <v/>
      </c>
      <c r="AH38" s="40" t="str">
        <f>IF(AND('Mapa final GC'!$AJ$56="Media",'Mapa final GC'!$AL$56="Mayor"),CONCATENATE("R2C",'Mapa final GC'!$S$56),"")</f>
        <v/>
      </c>
      <c r="AI38" s="41" t="str">
        <f>IF(AND('Mapa final GC'!$AJ$51="Media",'Mapa final GC'!$AL$51="Catastrófico"),CONCATENATE("R2C",'Mapa final GC'!$S$51),"")</f>
        <v/>
      </c>
      <c r="AJ38" s="42" t="str">
        <f>IF(AND('Mapa final GC'!$AJ$52="Media",'Mapa final GC'!$AL$52="Catastrófico"),CONCATENATE("R2C",'Mapa final GC'!$S$52),"")</f>
        <v/>
      </c>
      <c r="AK38" s="42" t="str">
        <f>IF(AND('Mapa final GC'!$AJ$53="Media",'Mapa final GC'!$AL$53="Catastrófico"),CONCATENATE("R2C",'Mapa final GC'!$S$53),"")</f>
        <v/>
      </c>
      <c r="AL38" s="42" t="str">
        <f>IF(AND('Mapa final GC'!$AJ$54="Media",'Mapa final GC'!$AL$54="Catastrófico"),CONCATENATE("R2C",'Mapa final GC'!$S$54),"")</f>
        <v/>
      </c>
      <c r="AM38" s="42" t="str">
        <f>IF(AND('Mapa final GC'!$AJ$55="Media",'Mapa final GC'!$AL$55="Catastrófico"),CONCATENATE("R2C",'Mapa final GC'!$S$55),"")</f>
        <v/>
      </c>
      <c r="AN38" s="43" t="str">
        <f>IF(AND('Mapa final GC'!$AJ$56="Media",'Mapa final GC'!$AL$56="Catastrófico"),CONCATENATE("R2C",'Mapa final GC'!$S$56),"")</f>
        <v/>
      </c>
      <c r="AO38" s="69"/>
      <c r="AP38" s="818"/>
      <c r="AQ38" s="819"/>
      <c r="AR38" s="819"/>
      <c r="AS38" s="819"/>
      <c r="AT38" s="819"/>
      <c r="AU38" s="820"/>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row>
    <row r="39" spans="2:77" ht="15" customHeight="1" x14ac:dyDescent="0.25">
      <c r="B39" s="69"/>
      <c r="C39" s="679"/>
      <c r="D39" s="679"/>
      <c r="E39" s="680"/>
      <c r="F39" s="778"/>
      <c r="G39" s="779"/>
      <c r="H39" s="779"/>
      <c r="I39" s="779"/>
      <c r="J39" s="780"/>
      <c r="K39" s="53" t="str">
        <f>IF(AND('Mapa final GC'!$AJ$57="Media",'Mapa final GC'!$AL$57="Leve"),CONCATENATE("R2C",'Mapa final GC'!$S$57),"")</f>
        <v/>
      </c>
      <c r="L39" s="54" t="str">
        <f>IF(AND('Mapa final GC'!$AJ$58="Media",'Mapa final GC'!$AL$58="Leve"),CONCATENATE("R2C",'Mapa final GC'!$S$58),"")</f>
        <v/>
      </c>
      <c r="M39" s="54" t="str">
        <f>IF(AND('Mapa final GC'!$AJ$59="Media",'Mapa final GC'!$AL$59="Leve"),CONCATENATE("R2C",'Mapa final GC'!$S$59),"")</f>
        <v/>
      </c>
      <c r="N39" s="54" t="str">
        <f>IF(AND('Mapa final GC'!$AJ$60="Media",'Mapa final GC'!$AL$60="Leve"),CONCATENATE("R2C",'Mapa final GC'!$S$60),"")</f>
        <v/>
      </c>
      <c r="O39" s="54" t="str">
        <f>IF(AND('Mapa final GC'!$AJ$61="Media",'Mapa final GC'!$AL$61="Leve"),CONCATENATE("R2C",'Mapa final GC'!$S$61),"")</f>
        <v/>
      </c>
      <c r="P39" s="55" t="str">
        <f>IF(AND('Mapa final GC'!$AJ$62="Media",'Mapa final GC'!$AL$62="Leve"),CONCATENATE("R2C",'Mapa final GC'!$S$62),"")</f>
        <v/>
      </c>
      <c r="Q39" s="53" t="str">
        <f>IF(AND('Mapa final GC'!$AJ$57="Media",'Mapa final GC'!$AL$57="Menor"),CONCATENATE("R2C",'Mapa final GC'!$S$57),"")</f>
        <v/>
      </c>
      <c r="R39" s="54" t="str">
        <f>IF(AND('Mapa final GC'!$AJ$58="Media",'Mapa final GC'!$AL$58="Menor"),CONCATENATE("R2C",'Mapa final GC'!$S$58),"")</f>
        <v/>
      </c>
      <c r="S39" s="54" t="str">
        <f>IF(AND('Mapa final GC'!$AJ$59="Media",'Mapa final GC'!$AL$59="Menor"),CONCATENATE("R2C",'Mapa final GC'!$S$59),"")</f>
        <v/>
      </c>
      <c r="T39" s="54" t="str">
        <f>IF(AND('Mapa final GC'!$AJ$60="Media",'Mapa final GC'!$AL$60="Menor"),CONCATENATE("R2C",'Mapa final GC'!$S$60),"")</f>
        <v/>
      </c>
      <c r="U39" s="54" t="str">
        <f>IF(AND('Mapa final GC'!$AJ$61="Media",'Mapa final GC'!$AL$61="Menor"),CONCATENATE("R2C",'Mapa final GC'!$S$61),"")</f>
        <v/>
      </c>
      <c r="V39" s="55" t="str">
        <f>IF(AND('Mapa final GC'!$AJ$62="Media",'Mapa final GC'!$AL$62="Menor"),CONCATENATE("R2C",'Mapa final GC'!$S$62),"")</f>
        <v/>
      </c>
      <c r="W39" s="53" t="str">
        <f>IF(AND('Mapa final GC'!$AJ$57="Media",'Mapa final GC'!$AL$57="Moderado"),CONCATENATE("R2C",'Mapa final GC'!$S$57),"")</f>
        <v/>
      </c>
      <c r="X39" s="54" t="str">
        <f>IF(AND('Mapa final GC'!$AJ$58="Media",'Mapa final GC'!$AL$58="Moderado"),CONCATENATE("R2C",'Mapa final GC'!$S$58),"")</f>
        <v/>
      </c>
      <c r="Y39" s="54" t="str">
        <f>IF(AND('Mapa final GC'!$AJ$59="Media",'Mapa final GC'!$AL$59="Moderado"),CONCATENATE("R2C",'Mapa final GC'!$S$59),"")</f>
        <v/>
      </c>
      <c r="Z39" s="54" t="str">
        <f>IF(AND('Mapa final GC'!$AJ$60="Media",'Mapa final GC'!$AL$60="Moderado"),CONCATENATE("R2C",'Mapa final GC'!$S$60),"")</f>
        <v/>
      </c>
      <c r="AA39" s="54" t="str">
        <f>IF(AND('Mapa final GC'!$AJ$61="Media",'Mapa final GC'!$AL$61="Moderado"),CONCATENATE("R2C",'Mapa final GC'!$S$61),"")</f>
        <v/>
      </c>
      <c r="AB39" s="55" t="str">
        <f>IF(AND('Mapa final GC'!$AJ$62="Media",'Mapa final GC'!$AL$62="Moderado"),CONCATENATE("R2C",'Mapa final GC'!$S$62),"")</f>
        <v/>
      </c>
      <c r="AC39" s="38" t="str">
        <f>IF(AND('Mapa final GC'!$AJ$57="Media",'Mapa final GC'!$AL$57="Mayor"),CONCATENATE("R2C",'Mapa final GC'!$S$57),"")</f>
        <v/>
      </c>
      <c r="AD39" s="39" t="str">
        <f>IF(AND('Mapa final GC'!$AJ$58="Media",'Mapa final GC'!$AL$58="Mayor"),CONCATENATE("R2C",'Mapa final GC'!$S$58),"")</f>
        <v/>
      </c>
      <c r="AE39" s="39" t="str">
        <f>IF(AND('Mapa final GC'!$AJ$59="Media",'Mapa final GC'!$AL$59="Mayor"),CONCATENATE("R2C",'Mapa final GC'!$S$59),"")</f>
        <v/>
      </c>
      <c r="AF39" s="39" t="str">
        <f>IF(AND('Mapa final GC'!$AJ$60="Media",'Mapa final GC'!$AL$60="Mayor"),CONCATENATE("R2C",'Mapa final GC'!$S$60),"")</f>
        <v/>
      </c>
      <c r="AG39" s="39" t="str">
        <f>IF(AND('Mapa final GC'!$AJ$61="Media",'Mapa final GC'!$AL$61="Mayor"),CONCATENATE("R2C",'Mapa final GC'!$S$61),"")</f>
        <v/>
      </c>
      <c r="AH39" s="40" t="str">
        <f>IF(AND('Mapa final GC'!$AJ$62="Media",'Mapa final GC'!$AL$62="Mayor"),CONCATENATE("R2C",'Mapa final GC'!$S$62),"")</f>
        <v/>
      </c>
      <c r="AI39" s="41" t="str">
        <f>IF(AND('Mapa final GC'!$AJ$57="Media",'Mapa final GC'!$AL$57="Catastrófico"),CONCATENATE("R2C",'Mapa final GC'!$S$57),"")</f>
        <v/>
      </c>
      <c r="AJ39" s="42" t="str">
        <f>IF(AND('Mapa final GC'!$AJ$58="Media",'Mapa final GC'!$AL$58="Catastrófico"),CONCATENATE("R2C",'Mapa final GC'!$S$58),"")</f>
        <v/>
      </c>
      <c r="AK39" s="42" t="str">
        <f>IF(AND('Mapa final GC'!$AJ$59="Media",'Mapa final GC'!$AL$59="Catastrófico"),CONCATENATE("R2C",'Mapa final GC'!$S$59),"")</f>
        <v/>
      </c>
      <c r="AL39" s="42" t="str">
        <f>IF(AND('Mapa final GC'!$AJ$60="Media",'Mapa final GC'!$AL$60="Catastrófico"),CONCATENATE("R2C",'Mapa final GC'!$S$60),"")</f>
        <v/>
      </c>
      <c r="AM39" s="42" t="str">
        <f>IF(AND('Mapa final GC'!$AJ$61="Media",'Mapa final GC'!$AL$61="Catastrófico"),CONCATENATE("R2C",'Mapa final GC'!$S$61),"")</f>
        <v/>
      </c>
      <c r="AN39" s="43" t="str">
        <f>IF(AND('Mapa final GC'!$AJ$62="Media",'Mapa final GC'!$AL$62="Catastrófico"),CONCATENATE("R2C",'Mapa final GC'!$S$62),"")</f>
        <v/>
      </c>
      <c r="AO39" s="69"/>
      <c r="AP39" s="818"/>
      <c r="AQ39" s="819"/>
      <c r="AR39" s="819"/>
      <c r="AS39" s="819"/>
      <c r="AT39" s="819"/>
      <c r="AU39" s="820"/>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row>
    <row r="40" spans="2:77" ht="15" customHeight="1" x14ac:dyDescent="0.25">
      <c r="B40" s="69"/>
      <c r="C40" s="679"/>
      <c r="D40" s="679"/>
      <c r="E40" s="680"/>
      <c r="F40" s="778"/>
      <c r="G40" s="779"/>
      <c r="H40" s="779"/>
      <c r="I40" s="779"/>
      <c r="J40" s="780"/>
      <c r="K40" s="53" t="str">
        <f>IF(AND('Mapa final GC'!$AJ$63="Media",'Mapa final GC'!$AL$63="Leve"),CONCATENATE("R2C",'Mapa final GC'!$S$63),"")</f>
        <v/>
      </c>
      <c r="L40" s="54" t="str">
        <f>IF(AND('Mapa final GC'!$AJ$64="Media",'Mapa final GC'!$AL$64="Leve"),CONCATENATE("R2C",'Mapa final GC'!$S$64),"")</f>
        <v/>
      </c>
      <c r="M40" s="54" t="str">
        <f>IF(AND('Mapa final GC'!$AJ$65="Media",'Mapa final GC'!$AL$65="Leve"),CONCATENATE("R2C",'Mapa final GC'!$S$65),"")</f>
        <v/>
      </c>
      <c r="N40" s="54" t="str">
        <f>IF(AND('Mapa final GC'!$AJ$66="Media",'Mapa final GC'!$AL$66="Leve"),CONCATENATE("R2C",'Mapa final GC'!$S$66),"")</f>
        <v/>
      </c>
      <c r="O40" s="54" t="str">
        <f>IF(AND('Mapa final GC'!$AJ$67="Media",'Mapa final GC'!$AL$67="Leve"),CONCATENATE("R2C",'Mapa final GC'!$S$67),"")</f>
        <v/>
      </c>
      <c r="P40" s="55" t="str">
        <f>IF(AND('Mapa final GC'!$AJ$68="Media",'Mapa final GC'!$AL$68="Leve"),CONCATENATE("R2C",'Mapa final GC'!$S$68),"")</f>
        <v/>
      </c>
      <c r="Q40" s="53" t="str">
        <f>IF(AND('Mapa final GC'!$AJ$63="Media",'Mapa final GC'!$AL$63="Menor"),CONCATENATE("R2C",'Mapa final GC'!$S$63),"")</f>
        <v/>
      </c>
      <c r="R40" s="54" t="str">
        <f>IF(AND('Mapa final GC'!$AJ$64="Media",'Mapa final GC'!$AL$64="Menor"),CONCATENATE("R2C",'Mapa final GC'!$S$64),"")</f>
        <v/>
      </c>
      <c r="S40" s="54" t="str">
        <f>IF(AND('Mapa final GC'!$AJ$65="Media",'Mapa final GC'!$AL$65="Menor"),CONCATENATE("R2C",'Mapa final GC'!$S$65),"")</f>
        <v/>
      </c>
      <c r="T40" s="54" t="str">
        <f>IF(AND('Mapa final GC'!$AJ$66="Media",'Mapa final GC'!$AL$66="Menor"),CONCATENATE("R2C",'Mapa final GC'!$S$66),"")</f>
        <v/>
      </c>
      <c r="U40" s="54" t="str">
        <f>IF(AND('Mapa final GC'!$AJ$67="Media",'Mapa final GC'!$AL$67="Menor"),CONCATENATE("R2C",'Mapa final GC'!$S$67),"")</f>
        <v/>
      </c>
      <c r="V40" s="55" t="str">
        <f>IF(AND('Mapa final GC'!$AJ$68="Media",'Mapa final GC'!$AL$68="Menor"),CONCATENATE("R2C",'Mapa final GC'!$S$68),"")</f>
        <v/>
      </c>
      <c r="W40" s="53" t="str">
        <f>IF(AND('Mapa final GC'!$AJ$63="Media",'Mapa final GC'!$AL$63="Moderado"),CONCATENATE("R2C",'Mapa final GC'!$S$63),"")</f>
        <v/>
      </c>
      <c r="X40" s="54" t="str">
        <f>IF(AND('Mapa final GC'!$AJ$64="Media",'Mapa final GC'!$AL$64="Moderado"),CONCATENATE("R2C",'Mapa final GC'!$S$64),"")</f>
        <v/>
      </c>
      <c r="Y40" s="54" t="str">
        <f>IF(AND('Mapa final GC'!$AJ$65="Media",'Mapa final GC'!$AL$65="Moderado"),CONCATENATE("R2C",'Mapa final GC'!$S$65),"")</f>
        <v/>
      </c>
      <c r="Z40" s="54" t="str">
        <f>IF(AND('Mapa final GC'!$AJ$66="Media",'Mapa final GC'!$AL$66="Moderado"),CONCATENATE("R2C",'Mapa final GC'!$S$66),"")</f>
        <v/>
      </c>
      <c r="AA40" s="54" t="str">
        <f>IF(AND('Mapa final GC'!$AJ$67="Media",'Mapa final GC'!$AL$67="Moderado"),CONCATENATE("R2C",'Mapa final GC'!$S$67),"")</f>
        <v/>
      </c>
      <c r="AB40" s="55" t="str">
        <f>IF(AND('Mapa final GC'!$AJ$68="Media",'Mapa final GC'!$AL$68="Moderado"),CONCATENATE("R2C",'Mapa final GC'!$S$68),"")</f>
        <v/>
      </c>
      <c r="AC40" s="38" t="str">
        <f>IF(AND('Mapa final GC'!$AJ$63="Media",'Mapa final GC'!$AL$63="Mayor"),CONCATENATE("R2C",'Mapa final GC'!$S$63),"")</f>
        <v/>
      </c>
      <c r="AD40" s="39" t="str">
        <f>IF(AND('Mapa final GC'!$AJ$64="Media",'Mapa final GC'!$AL$64="Mayor"),CONCATENATE("R2C",'Mapa final GC'!$S$64),"")</f>
        <v/>
      </c>
      <c r="AE40" s="39" t="str">
        <f>IF(AND('Mapa final GC'!$AJ$65="Media",'Mapa final GC'!$AL$65="Mayor"),CONCATENATE("R2C",'Mapa final GC'!$S$65),"")</f>
        <v/>
      </c>
      <c r="AF40" s="39" t="str">
        <f>IF(AND('Mapa final GC'!$AJ$66="Media",'Mapa final GC'!$AL$66="Mayor"),CONCATENATE("R2C",'Mapa final GC'!$S$66),"")</f>
        <v/>
      </c>
      <c r="AG40" s="39" t="str">
        <f>IF(AND('Mapa final GC'!$AJ$67="Media",'Mapa final GC'!$AL$67="Mayor"),CONCATENATE("R2C",'Mapa final GC'!$S$67),"")</f>
        <v/>
      </c>
      <c r="AH40" s="40" t="str">
        <f>IF(AND('Mapa final GC'!$AJ$68="Media",'Mapa final GC'!$AL$68="Mayor"),CONCATENATE("R2C",'Mapa final GC'!$S$68),"")</f>
        <v/>
      </c>
      <c r="AI40" s="41" t="str">
        <f>IF(AND('Mapa final GC'!$AJ$63="Media",'Mapa final GC'!$AL$63="Catastrófico"),CONCATENATE("R2C",'Mapa final GC'!$S$63),"")</f>
        <v/>
      </c>
      <c r="AJ40" s="42" t="str">
        <f>IF(AND('Mapa final GC'!$AJ$64="Media",'Mapa final GC'!$AL$64="Catastrófico"),CONCATENATE("R2C",'Mapa final GC'!$S$64),"")</f>
        <v/>
      </c>
      <c r="AK40" s="42" t="str">
        <f>IF(AND('Mapa final GC'!$AJ$65="Media",'Mapa final GC'!$AL$65="Catastrófico"),CONCATENATE("R2C",'Mapa final GC'!$S$65),"")</f>
        <v/>
      </c>
      <c r="AL40" s="42" t="str">
        <f>IF(AND('Mapa final GC'!$AJ$66="Media",'Mapa final GC'!$AL$66="Catastrófico"),CONCATENATE("R2C",'Mapa final GC'!$S$66),"")</f>
        <v/>
      </c>
      <c r="AM40" s="42" t="str">
        <f>IF(AND('Mapa final GC'!$AJ$67="Media",'Mapa final GC'!$AL$67="Catastrófico"),CONCATENATE("R2C",'Mapa final GC'!$S$67),"")</f>
        <v/>
      </c>
      <c r="AN40" s="43" t="str">
        <f>IF(AND('Mapa final GC'!$AJ$68="Media",'Mapa final GC'!$AL$68="Catastrófico"),CONCATENATE("R2C",'Mapa final GC'!$S$68),"")</f>
        <v/>
      </c>
      <c r="AO40" s="69"/>
      <c r="AP40" s="818"/>
      <c r="AQ40" s="819"/>
      <c r="AR40" s="819"/>
      <c r="AS40" s="819"/>
      <c r="AT40" s="819"/>
      <c r="AU40" s="820"/>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row>
    <row r="41" spans="2:77" ht="15.75" customHeight="1" thickBot="1" x14ac:dyDescent="0.3">
      <c r="B41" s="69"/>
      <c r="C41" s="679"/>
      <c r="D41" s="679"/>
      <c r="E41" s="680"/>
      <c r="F41" s="781"/>
      <c r="G41" s="782"/>
      <c r="H41" s="782"/>
      <c r="I41" s="782"/>
      <c r="J41" s="783"/>
      <c r="K41" s="53" t="str">
        <f>IF(AND('Mapa final GC'!$AJ$69="Media",'Mapa final GC'!$AL$69="Leve"),CONCATENATE("R2C",'Mapa final GC'!$S$69),"")</f>
        <v/>
      </c>
      <c r="L41" s="54" t="str">
        <f>IF(AND('Mapa final GC'!$AJ$70="Media",'Mapa final GC'!$AL$70="Leve"),CONCATENATE("R2C",'Mapa final GC'!$S$70),"")</f>
        <v/>
      </c>
      <c r="M41" s="54" t="str">
        <f>IF(AND('Mapa final GC'!$AJ$71="Media",'Mapa final GC'!$AL$71="Leve"),CONCATENATE("R2C",'Mapa final GC'!$S$71),"")</f>
        <v/>
      </c>
      <c r="N41" s="54" t="str">
        <f>IF(AND('Mapa final GC'!$AJ$72="Media",'Mapa final GC'!$AL$72="Leve"),CONCATENATE("R2C",'Mapa final GC'!$S$72),"")</f>
        <v/>
      </c>
      <c r="O41" s="54" t="str">
        <f>IF(AND('Mapa final GC'!$AJ$74="Media",'Mapa final GC'!$AL$74="Leve"),CONCATENATE("R2C",'Mapa final GC'!$S$74),"")</f>
        <v/>
      </c>
      <c r="P41" s="55" t="str">
        <f>IF(AND('Mapa final GC'!$AJ$75="Media",'Mapa final GC'!$AL$75="Leve"),CONCATENATE("R2C",'Mapa final GC'!$S$75),"")</f>
        <v/>
      </c>
      <c r="Q41" s="53" t="str">
        <f>IF(AND('Mapa final GC'!$AJ$69="Media",'Mapa final GC'!$AL$69="Menor"),CONCATENATE("R2C",'Mapa final GC'!$S$69),"")</f>
        <v/>
      </c>
      <c r="R41" s="54" t="str">
        <f>IF(AND('Mapa final GC'!$AJ$70="Media",'Mapa final GC'!$AL$70="Menor"),CONCATENATE("R2C",'Mapa final GC'!$S$70),"")</f>
        <v/>
      </c>
      <c r="S41" s="54" t="str">
        <f>IF(AND('Mapa final GC'!$AJ$71="Media",'Mapa final GC'!$AL$71="Menor"),CONCATENATE("R2C",'Mapa final GC'!$S$71),"")</f>
        <v/>
      </c>
      <c r="T41" s="54" t="str">
        <f>IF(AND('Mapa final GC'!$AJ$72="Media",'Mapa final GC'!$AL$72="Menor"),CONCATENATE("R2C",'Mapa final GC'!$S$72),"")</f>
        <v/>
      </c>
      <c r="U41" s="54" t="str">
        <f>IF(AND('Mapa final GC'!$AJ$74="Media",'Mapa final GC'!$AL$74="Menor"),CONCATENATE("R2C",'Mapa final GC'!$S$74),"")</f>
        <v/>
      </c>
      <c r="V41" s="55" t="str">
        <f>IF(AND('Mapa final GC'!$AJ$75="Media",'Mapa final GC'!$AL$75="Menor"),CONCATENATE("R2C",'Mapa final GC'!$S$75),"")</f>
        <v/>
      </c>
      <c r="W41" s="53" t="str">
        <f>IF(AND('Mapa final GC'!$AJ$69="Media",'Mapa final GC'!$AL$69="Moderado"),CONCATENATE("R2C",'Mapa final GC'!$S$69),"")</f>
        <v/>
      </c>
      <c r="X41" s="54" t="str">
        <f>IF(AND('Mapa final GC'!$AJ$70="Media",'Mapa final GC'!$AL$70="Moderado"),CONCATENATE("R2C",'Mapa final GC'!$S$70),"")</f>
        <v/>
      </c>
      <c r="Y41" s="54" t="str">
        <f>IF(AND('Mapa final GC'!$AJ$71="Media",'Mapa final GC'!$AL$71="Moderado"),CONCATENATE("R2C",'Mapa final GC'!$S$71),"")</f>
        <v/>
      </c>
      <c r="Z41" s="54" t="str">
        <f>IF(AND('Mapa final GC'!$AJ$72="Media",'Mapa final GC'!$AL$72="Moderado"),CONCATENATE("R2C",'Mapa final GC'!$S$72),"")</f>
        <v/>
      </c>
      <c r="AA41" s="54" t="str">
        <f>IF(AND('Mapa final GC'!$AJ$74="Media",'Mapa final GC'!$AL$74="Moderado"),CONCATENATE("R2C",'Mapa final GC'!$S$74),"")</f>
        <v/>
      </c>
      <c r="AB41" s="55" t="str">
        <f>IF(AND('Mapa final GC'!$AJ$75="Media",'Mapa final GC'!$AL$75="Moderado"),CONCATENATE("R2C",'Mapa final GC'!$S$75),"")</f>
        <v/>
      </c>
      <c r="AC41" s="44" t="str">
        <f>IF(AND('Mapa final GC'!$AJ$69="Media",'Mapa final GC'!$AL$69="Mayor"),CONCATENATE("R2C",'Mapa final GC'!$S$69),"")</f>
        <v/>
      </c>
      <c r="AD41" s="45" t="str">
        <f>IF(AND('Mapa final GC'!$AJ$70="Media",'Mapa final GC'!$AL$70="Mayor"),CONCATENATE("R2C",'Mapa final GC'!$S$70),"")</f>
        <v/>
      </c>
      <c r="AE41" s="45" t="str">
        <f>IF(AND('Mapa final GC'!$AJ$71="Media",'Mapa final GC'!$AL$71="Mayor"),CONCATENATE("R2C",'Mapa final GC'!$S$71),"")</f>
        <v/>
      </c>
      <c r="AF41" s="45" t="str">
        <f>IF(AND('Mapa final GC'!$AJ$72="Media",'Mapa final GC'!$AL$72="Mayor"),CONCATENATE("R2C",'Mapa final GC'!$S$72),"")</f>
        <v/>
      </c>
      <c r="AG41" s="45" t="str">
        <f>IF(AND('Mapa final GC'!$AJ$74="Media",'Mapa final GC'!$AL$74="Mayor"),CONCATENATE("R2C",'Mapa final GC'!$S$74),"")</f>
        <v/>
      </c>
      <c r="AH41" s="46" t="str">
        <f>IF(AND('Mapa final GC'!$AJ$75="Media",'Mapa final GC'!$AL$75="Mayor"),CONCATENATE("R2C",'Mapa final GC'!$S$75),"")</f>
        <v/>
      </c>
      <c r="AI41" s="47" t="str">
        <f>IF(AND('Mapa final GC'!$AJ$69="Media",'Mapa final GC'!$AL$69="Catastrófico"),CONCATENATE("R2C",'Mapa final GC'!$S$69),"")</f>
        <v/>
      </c>
      <c r="AJ41" s="48" t="str">
        <f>IF(AND('Mapa final GC'!$AJ$70="Media",'Mapa final GC'!$AL$70="Catastrófico"),CONCATENATE("R2C",'Mapa final GC'!$S$70),"")</f>
        <v/>
      </c>
      <c r="AK41" s="48" t="str">
        <f>IF(AND('Mapa final GC'!$AJ$71="Media",'Mapa final GC'!$AL$71="Catastrófico"),CONCATENATE("R2C",'Mapa final GC'!$S$71),"")</f>
        <v/>
      </c>
      <c r="AL41" s="48" t="str">
        <f>IF(AND('Mapa final GC'!$AJ$72="Media",'Mapa final GC'!$AL$72="Catastrófico"),CONCATENATE("R2C",'Mapa final GC'!$S$72),"")</f>
        <v/>
      </c>
      <c r="AM41" s="48" t="str">
        <f>IF(AND('Mapa final GC'!$AJ$74="Media",'Mapa final GC'!$AL$74="Catastrófico"),CONCATENATE("R2C",'Mapa final GC'!$S$74),"")</f>
        <v/>
      </c>
      <c r="AN41" s="49" t="str">
        <f>IF(AND('Mapa final GC'!$AJ$75="Muy Alta",'Mapa final GC'!$AL$75="Catastrófico"),CONCATENATE("R2C",'Mapa final GC'!$S$75),"")</f>
        <v/>
      </c>
      <c r="AO41" s="69"/>
      <c r="AP41" s="821"/>
      <c r="AQ41" s="822"/>
      <c r="AR41" s="822"/>
      <c r="AS41" s="822"/>
      <c r="AT41" s="822"/>
      <c r="AU41" s="823"/>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row>
    <row r="42" spans="2:77" ht="15" customHeight="1" x14ac:dyDescent="0.25">
      <c r="B42" s="69"/>
      <c r="C42" s="679"/>
      <c r="D42" s="679"/>
      <c r="E42" s="680"/>
      <c r="F42" s="775" t="s">
        <v>112</v>
      </c>
      <c r="G42" s="776"/>
      <c r="H42" s="776"/>
      <c r="I42" s="776"/>
      <c r="J42" s="776"/>
      <c r="K42" s="59" t="str">
        <f>IF(AND('Mapa final GC'!$AJ$15="Baja",'Mapa final GC'!$AL$15="Leve"),CONCATENATE("R2C",'Mapa final GC'!$S$15),"")</f>
        <v/>
      </c>
      <c r="L42" s="60" t="str">
        <f>IF(AND('Mapa final GC'!$AJ$16="Baja",'Mapa final GC'!$AL$16="Leve"),CONCATENATE("R2C",'Mapa final GC'!$S$16),"")</f>
        <v/>
      </c>
      <c r="M42" s="60" t="str">
        <f>IF(AND('Mapa final GC'!$AJ$17="Baja",'Mapa final GC'!$AL$17="Leve"),CONCATENATE("R2C",'Mapa final GC'!$S$17),"")</f>
        <v/>
      </c>
      <c r="N42" s="60" t="str">
        <f>IF(AND('Mapa final GC'!$AJ$19="Baja",'Mapa final GC'!$AL$19="Leve"),CONCATENATE("R2C",'Mapa final GC'!$S$19),"")</f>
        <v/>
      </c>
      <c r="O42" s="60" t="str">
        <f>IF(AND('Mapa final GC'!$AJ$20="Baja",'Mapa final GC'!$AL$20="Leve"),CONCATENATE("R2C",'Mapa final GC'!$S$20),"")</f>
        <v/>
      </c>
      <c r="P42" s="61" t="e">
        <f>IF(AND('Mapa final GC'!#REF!="Baja",'Mapa final GC'!#REF!="Leve"),CONCATENATE("R2C",'Mapa final GC'!#REF!),"")</f>
        <v>#REF!</v>
      </c>
      <c r="Q42" s="50" t="str">
        <f>IF(AND('Mapa final GC'!$AJ$15="Baja",'Mapa final GC'!$AL$15="Menor"),CONCATENATE("R2C",'Mapa final GC'!$S$15),"")</f>
        <v/>
      </c>
      <c r="R42" s="51" t="str">
        <f>IF(AND('Mapa final GC'!$AJ$16="Baja",'Mapa final GC'!$AL$16="Menore"),CONCATENATE("R2C",'Mapa final GC'!$S$16),"")</f>
        <v/>
      </c>
      <c r="S42" s="51" t="str">
        <f>IF(AND('Mapa final GC'!$AJ$17="Baja",'Mapa final GC'!$AL$17="Menor"),CONCATENATE("R2C",'Mapa final GC'!$S$17),"")</f>
        <v/>
      </c>
      <c r="T42" s="51" t="str">
        <f>IF(AND('Mapa final GC'!$AJ$19="Baja",'Mapa final GC'!$AL$19="Menor"),CONCATENATE("R2C",'Mapa final GC'!$S$19),"")</f>
        <v/>
      </c>
      <c r="U42" s="51" t="str">
        <f>IF(AND('Mapa final GC'!$AJ$20="Baja",'Mapa final GC'!$AL$20="Menor"),CONCATENATE("R2C",'Mapa final GC'!$S$20),"")</f>
        <v/>
      </c>
      <c r="V42" s="52" t="e">
        <f>IF(AND('Mapa final GC'!#REF!="Baja",'Mapa final GC'!#REF!="Menor"),CONCATENATE("R2C",'Mapa final GC'!#REF!),"")</f>
        <v>#REF!</v>
      </c>
      <c r="W42" s="50" t="str">
        <f>IF(AND('Mapa final GC'!$AJ$15="Baja",'Mapa final GC'!$AL$15="Moderado"),CONCATENATE("R2C",'Mapa final GC'!$D$15),"")</f>
        <v>R2C1CA</v>
      </c>
      <c r="X42" s="51" t="str">
        <f>IF(AND('Mapa final GC'!$AJ$16="Baja",'Mapa final GC'!$AL$16="Moderado"),CONCATENATE("R2C",'Mapa final GC'!$S$16),"")</f>
        <v/>
      </c>
      <c r="Y42" s="51" t="str">
        <f>IF(AND('Mapa final GC'!$AJ$17="Baja",'Mapa final GC'!$AL$17="Moderado"),CONCATENATE("R2C",'Mapa final GC'!$D$17),"")</f>
        <v>R2C2CA</v>
      </c>
      <c r="Z42" s="51" t="str">
        <f>IF(AND('Mapa final GC'!$AJ$19="Baja",'Mapa final GC'!$AL$19="Moderado"),CONCATENATE("R3C",'Mapa final GC'!$D$19),"")</f>
        <v>R3C3CA</v>
      </c>
      <c r="AA42" s="51" t="str">
        <f>IF(AND('Mapa final GC'!$AJ$20="Baja",'Mapa final GC'!$AL$20="Moderado"),CONCATENATE("R2C",'Mapa final GC'!$S$20),"")</f>
        <v/>
      </c>
      <c r="AB42" s="52" t="e">
        <f>IF(AND('Mapa final GC'!#REF!="Baja",'Mapa final GC'!#REF!="Moderado"),CONCATENATE("R4C",'Mapa final GC'!#REF!),"")</f>
        <v>#REF!</v>
      </c>
      <c r="AC42" s="32" t="str">
        <f>IF(AND('Mapa final AM'!$AJ$15="Baja",'Mapa final AM'!$AL$15="Mayor"),CONCATENATE("R1C",'Mapa final AM'!$D$15),"")</f>
        <v/>
      </c>
      <c r="AD42" s="33" t="str">
        <f>IF(AND('Mapa final GC'!$AJ$16="Baja",'Mapa final GC'!$AL$16="Mayor"),CONCATENATE("R2C",'Mapa final GC'!$S$16),"")</f>
        <v/>
      </c>
      <c r="AE42" s="33" t="str">
        <f>IF(AND('Mapa final GC'!$AJ$17="Baja",'Mapa final GC'!$AL$17="Mayor"),CONCATENATE("R2C",'Mapa final GC'!$S$17),"")</f>
        <v/>
      </c>
      <c r="AF42" s="33" t="str">
        <f>IF(AND('Mapa final GC'!$AJ$19="Baja",'Mapa final GC'!$AL$19="Mayor"),CONCATENATE("R2C",'Mapa final GC'!$S$19),"")</f>
        <v/>
      </c>
      <c r="AG42" s="33" t="str">
        <f>IF(AND('Mapa final GC'!$AJ$20="Baja",'Mapa final GC'!$AL$20="Mayor"),CONCATENATE("R2C",'Mapa final GC'!$S$20),"")</f>
        <v/>
      </c>
      <c r="AH42" s="34" t="e">
        <f>IF(AND('Mapa final GC'!#REF!="Baja",'Mapa final GC'!#REF!="Mayor"),CONCATENATE("R2C",'Mapa final GC'!#REF!),"")</f>
        <v>#REF!</v>
      </c>
      <c r="AI42" s="35" t="str">
        <f>IF(AND('Mapa final GC'!$AJ$15="Baja",'Mapa final GC'!$AL$15="Catastrófico"),CONCATENATE("R2C",'Mapa final GC'!$S$15),"")</f>
        <v/>
      </c>
      <c r="AJ42" s="36" t="str">
        <f>IF(AND('Mapa final GC'!$AJ$16="Baja",'Mapa final GC'!$AL$16="Catastrófico"),CONCATENATE("R2C",'Mapa final GC'!$S$16),"")</f>
        <v/>
      </c>
      <c r="AK42" s="36" t="str">
        <f>IF(AND('Mapa final GC'!$AJ$17="Baja",'Mapa final GC'!$AL$17="Catastrófico"),CONCATENATE("R2C",'Mapa final GC'!$S$17),"")</f>
        <v/>
      </c>
      <c r="AL42" s="36" t="str">
        <f>IF(AND('Mapa final GC'!$AJ$19="Baja",'Mapa final GC'!$AL$19="Catastrófico"),CONCATENATE("R2C",'Mapa final GC'!$S$19),"")</f>
        <v/>
      </c>
      <c r="AM42" s="36" t="str">
        <f>IF(AND('Mapa final GC'!$AJ$20="Baja",'Mapa final GC'!$AL$20="Catastrófico"),CONCATENATE("R2C",'Mapa final GC'!$S$20),"")</f>
        <v/>
      </c>
      <c r="AN42" s="37" t="e">
        <f>IF(AND('Mapa final GC'!#REF!="Baja",'Mapa final GC'!#REF!="Catastrófico"),CONCATENATE("R2C",'Mapa final GC'!#REF!),"")</f>
        <v>#REF!</v>
      </c>
      <c r="AO42" s="69"/>
      <c r="AP42" s="806" t="s">
        <v>80</v>
      </c>
      <c r="AQ42" s="807"/>
      <c r="AR42" s="807"/>
      <c r="AS42" s="807"/>
      <c r="AT42" s="807"/>
      <c r="AU42" s="808"/>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row>
    <row r="43" spans="2:77" ht="15" customHeight="1" x14ac:dyDescent="0.25">
      <c r="B43" s="69"/>
      <c r="C43" s="679"/>
      <c r="D43" s="679"/>
      <c r="E43" s="680"/>
      <c r="F43" s="793"/>
      <c r="G43" s="779"/>
      <c r="H43" s="779"/>
      <c r="I43" s="779"/>
      <c r="J43" s="779"/>
      <c r="K43" s="62" t="str">
        <f>IF(AND('Mapa final GC'!$AJ$21="Baja",'Mapa final GC'!$AL$21="Leve"),CONCATENATE("R2C",'Mapa final GC'!$S$21),"")</f>
        <v/>
      </c>
      <c r="L43" s="63" t="str">
        <f>IF(AND('Mapa final GC'!$AJ$22="Baja",'Mapa final GC'!$AL$22="Leve"),CONCATENATE("R2C",'Mapa final GC'!$S$22),"")</f>
        <v/>
      </c>
      <c r="M43" s="63" t="str">
        <f>IF(AND('Mapa final GC'!$AJ$23="Baja",'Mapa final GC'!$AL$23="Leve"),CONCATENATE("R2C",'Mapa final GC'!$S$23),"")</f>
        <v/>
      </c>
      <c r="N43" s="63" t="str">
        <f>IF(AND('Mapa final GC'!$AJ$24="Baja",'Mapa final GC'!$AL$24="Leve"),CONCATENATE("R2C",'Mapa final GC'!$S$24),"")</f>
        <v/>
      </c>
      <c r="O43" s="63" t="str">
        <f>IF(AND('Mapa final GC'!$AJ$25="Baja",'Mapa final GC'!$AL$25="Leve"),CONCATENATE("R2C",'Mapa final GC'!$S$25),"")</f>
        <v/>
      </c>
      <c r="P43" s="64" t="str">
        <f>IF(AND('Mapa final GC'!$AJ$26="Baja",'Mapa final GC'!$AL$26="Leve"),CONCATENATE("R2C",'Mapa final GC'!$S$26),"")</f>
        <v/>
      </c>
      <c r="Q43" s="53" t="str">
        <f>IF(AND('Mapa final GC'!$AJ$21="Baja",'Mapa final GC'!$AL$21="Menor"),CONCATENATE("R2C",'Mapa final GC'!$S$21),"")</f>
        <v/>
      </c>
      <c r="R43" s="54" t="str">
        <f>IF(AND('Mapa final GC'!$AJ$22="Baja",'Mapa final GC'!$AL$22="Menor"),CONCATENATE("R2C",'Mapa final GC'!$S$22),"")</f>
        <v/>
      </c>
      <c r="S43" s="54" t="str">
        <f>IF(AND('Mapa final GC'!$AJ$23="Baja",'Mapa final GC'!$AL$23="Menor"),CONCATENATE("R2C",'Mapa final GC'!$S$23),"")</f>
        <v/>
      </c>
      <c r="T43" s="54" t="str">
        <f>IF(AND('Mapa final GC'!$AJ$24="Baja",'Mapa final GC'!$AL$24="Menor"),CONCATENATE("R2C",'Mapa final GC'!$S$24),"")</f>
        <v/>
      </c>
      <c r="U43" s="54" t="str">
        <f>IF(AND('Mapa final GC'!$AJ$25="Baja",'Mapa final GC'!$AL$25="Menor"),CONCATENATE("R2C",'Mapa final GC'!$S$25),"")</f>
        <v/>
      </c>
      <c r="V43" s="55" t="str">
        <f>IF(AND('Mapa final GC'!$AJ$26="Baja",'Mapa final GC'!$AL$26="Menor"),CONCATENATE("R2C",'Mapa final GC'!$S$26),"")</f>
        <v/>
      </c>
      <c r="W43" s="53" t="str">
        <f>IF(AND('Mapa final GC'!$AJ$21="Baja",'Mapa final GC'!$AL$21="Moderado"),CONCATENATE("R2C",'Mapa final GC'!$S$21),"")</f>
        <v/>
      </c>
      <c r="X43" s="54" t="str">
        <f>IF(AND('Mapa final GC'!$AJ$22="Baja",'Mapa final GC'!$AL$22="Moderado"),CONCATENATE("R2C",'Mapa final GC'!$S$22),"")</f>
        <v/>
      </c>
      <c r="Y43" s="54" t="str">
        <f>IF(AND('Mapa final GC'!$AJ$23="Baja",'Mapa final GC'!$AL$23="Moderado"),CONCATENATE("R2C",'Mapa final GC'!$S$23),"")</f>
        <v/>
      </c>
      <c r="Z43" s="54" t="str">
        <f>IF(AND('Mapa final GC'!$AJ$24="Baja",'Mapa final GC'!$AL$24="Moderado"),CONCATENATE("R2C",'Mapa final GC'!$S$24),"")</f>
        <v/>
      </c>
      <c r="AA43" s="54" t="str">
        <f>IF(AND('Mapa final GC'!$AJ$25="Baja",'Mapa final GC'!$AL$25="Moderado"),CONCATENATE("R2C",'Mapa final GC'!$S$25),"")</f>
        <v/>
      </c>
      <c r="AB43" s="55" t="str">
        <f>IF(AND('Mapa final GC'!$AJ$26="Baja",'Mapa final GC'!$AL$26="Moderado"),CONCATENATE("R2C",'Mapa final GC'!$S$26),"")</f>
        <v/>
      </c>
      <c r="AC43" s="38" t="str">
        <f>IF(AND('Mapa final GC'!$AJ$21="Baja",'Mapa final GC'!$AL$21="Mayor"),CONCATENATE("R2C",'Mapa final GC'!$S$21),"")</f>
        <v/>
      </c>
      <c r="AD43" s="39" t="str">
        <f>IF(AND('Mapa final GC'!$AJ$22="Baja",'Mapa final GC'!$AL$22="Mayor"),CONCATENATE("R2C",'Mapa final GC'!$S$22),"")</f>
        <v/>
      </c>
      <c r="AE43" s="39" t="str">
        <f>IF(AND('Mapa final GC'!$AJ$23="Baja",'Mapa final GC'!$AL$23="Mayor"),CONCATENATE("R2C",'Mapa final GC'!$S$23),"")</f>
        <v/>
      </c>
      <c r="AF43" s="39" t="str">
        <f>IF(AND('Mapa final GC'!$AJ$24="Baja",'Mapa final GC'!$AL$24="Mayor"),CONCATENATE("R2C",'Mapa final GC'!$S$24),"")</f>
        <v/>
      </c>
      <c r="AG43" s="39" t="str">
        <f>IF(AND('Mapa final GC'!$AJ$25="Baja",'Mapa final GC'!$AL$25="Mayor"),CONCATENATE("R2C",'Mapa final GC'!$S$25),"")</f>
        <v/>
      </c>
      <c r="AH43" s="40" t="str">
        <f>IF(AND('Mapa final GC'!$AJ$26="Baja",'Mapa final GC'!$AL$26="Mayor"),CONCATENATE("R2C",'Mapa final GC'!$S$26),"")</f>
        <v/>
      </c>
      <c r="AI43" s="41" t="str">
        <f>IF(AND('Mapa final GC'!$AJ$21="Baja",'Mapa final GC'!$AL$21="Catastrófico"),CONCATENATE("R2C",'Mapa final GC'!$S$21),"")</f>
        <v/>
      </c>
      <c r="AJ43" s="42" t="str">
        <f>IF(AND('Mapa final GC'!$AJ$22="Baja",'Mapa final GC'!$AL$22="Catastrófico"),CONCATENATE("R2C",'Mapa final GC'!$S$22),"")</f>
        <v/>
      </c>
      <c r="AK43" s="42" t="str">
        <f>IF(AND('Mapa final GC'!$AJ$23="Baja",'Mapa final GC'!$AL$23="Catastrófico"),CONCATENATE("R2C",'Mapa final GC'!$S$23),"")</f>
        <v/>
      </c>
      <c r="AL43" s="42" t="str">
        <f>IF(AND('Mapa final GC'!$AJ$24="Baja",'Mapa final GC'!$AL$24="Catastrófico"),CONCATENATE("R2C",'Mapa final GC'!$S$24),"")</f>
        <v/>
      </c>
      <c r="AM43" s="42" t="str">
        <f>IF(AND('Mapa final GC'!$AJ$25="Baja",'Mapa final GC'!$AL$25="Catastrófico"),CONCATENATE("R2C",'Mapa final GC'!$S$25),"")</f>
        <v/>
      </c>
      <c r="AN43" s="43" t="str">
        <f>IF(AND('Mapa final GC'!$AJ$26="Baja",'Mapa final GC'!$AL$26="Catastrófico"),CONCATENATE("R2C",'Mapa final GC'!$S$26),"")</f>
        <v/>
      </c>
      <c r="AO43" s="69"/>
      <c r="AP43" s="809"/>
      <c r="AQ43" s="810"/>
      <c r="AR43" s="810"/>
      <c r="AS43" s="810"/>
      <c r="AT43" s="810"/>
      <c r="AU43" s="811"/>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row>
    <row r="44" spans="2:77" ht="15" customHeight="1" x14ac:dyDescent="0.25">
      <c r="B44" s="69"/>
      <c r="C44" s="679"/>
      <c r="D44" s="679"/>
      <c r="E44" s="680"/>
      <c r="F44" s="778"/>
      <c r="G44" s="779"/>
      <c r="H44" s="779"/>
      <c r="I44" s="779"/>
      <c r="J44" s="779"/>
      <c r="K44" s="62" t="str">
        <f>IF(AND('Mapa final GC'!$AJ$27="Baja",'Mapa final GC'!$AL$27="Leve"),CONCATENATE("R2C",'Mapa final GC'!$S$27),"")</f>
        <v/>
      </c>
      <c r="L44" s="63" t="str">
        <f>IF(AND('Mapa final GC'!$AJ$28="Baja",'Mapa final GC'!$AL$28="Leve"),CONCATENATE("R2C",'Mapa final GC'!$S$28),"")</f>
        <v/>
      </c>
      <c r="M44" s="63" t="str">
        <f>IF(AND('Mapa final GC'!$AJ$29="Baja",'Mapa final GC'!$AL$29="Leve"),CONCATENATE("R2C",'Mapa final GC'!$S$29),"")</f>
        <v/>
      </c>
      <c r="N44" s="63" t="str">
        <f>IF(AND('Mapa final GC'!$AJ$30="Baja",'Mapa final GC'!$AL$30="Leve"),CONCATENATE("R2C",'Mapa final GC'!$S$30),"")</f>
        <v/>
      </c>
      <c r="O44" s="63" t="str">
        <f>IF(AND('Mapa final GC'!$AJ$31="Baja",'Mapa final GC'!$AL$31="Leve"),CONCATENATE("R2C",'Mapa final GC'!$S$31),"")</f>
        <v/>
      </c>
      <c r="P44" s="64" t="str">
        <f>IF(AND('Mapa final GC'!$AJ$32="Baja",'Mapa final GC'!$AL$32="Leve"),CONCATENATE("R2C",'Mapa final GC'!$S$32),"")</f>
        <v/>
      </c>
      <c r="Q44" s="53" t="str">
        <f>IF(AND('Mapa final GC'!$AJ$27="Baja",'Mapa final GC'!$AL$27="Menor"),CONCATENATE("R2C",'Mapa final GC'!$S$27),"")</f>
        <v/>
      </c>
      <c r="R44" s="54" t="str">
        <f>IF(AND('Mapa final GC'!$AJ$28="Baja",'Mapa final GC'!$AL$28="Menor"),CONCATENATE("R2C",'Mapa final GC'!$S$28),"")</f>
        <v/>
      </c>
      <c r="S44" s="54" t="str">
        <f>IF(AND('Mapa final GC'!$AJ$29="Baja",'Mapa final GC'!$AL$29="Menor"),CONCATENATE("R2C",'Mapa final GC'!$S$29),"")</f>
        <v/>
      </c>
      <c r="T44" s="54" t="str">
        <f>IF(AND('Mapa final GC'!$AJ$30="Baja",'Mapa final GC'!$AL$30="Menor"),CONCATENATE("R2C",'Mapa final GC'!$S$30),"")</f>
        <v/>
      </c>
      <c r="U44" s="54" t="str">
        <f>IF(AND('Mapa final GC'!$AJ$31="Baja",'Mapa final GC'!$AL$31="Menor"),CONCATENATE("R2C",'Mapa final GC'!$S$31),"")</f>
        <v/>
      </c>
      <c r="V44" s="55" t="str">
        <f>IF(AND('Mapa final GC'!$AJ$32="Baja",'Mapa final GC'!$AL$32="Menor"),CONCATENATE("R2C",'Mapa final GC'!$S$32),"")</f>
        <v/>
      </c>
      <c r="W44" s="53" t="str">
        <f>IF(AND('Mapa final GC'!$AJ$27="Baja",'Mapa final GC'!$AL$27="Moderado"),CONCATENATE("R2C",'Mapa final GC'!$S$27),"")</f>
        <v/>
      </c>
      <c r="X44" s="54" t="str">
        <f>IF(AND('Mapa final GC'!$AJ$28="Baja",'Mapa final GC'!$AL$28="Moderado"),CONCATENATE("R2C",'Mapa final GC'!$S$28),"")</f>
        <v/>
      </c>
      <c r="Y44" s="54" t="str">
        <f>IF(AND('Mapa final GC'!$AJ$29="Baja",'Mapa final GC'!$AL$29="Moderado"),CONCATENATE("R2C",'Mapa final GC'!$S$29),"")</f>
        <v/>
      </c>
      <c r="Z44" s="54" t="str">
        <f>IF(AND('Mapa final GC'!$AJ$30="Baja",'Mapa final GC'!$AL$30="Moderado"),CONCATENATE("R2C",'Mapa final GC'!$S$30),"")</f>
        <v/>
      </c>
      <c r="AA44" s="54" t="str">
        <f>IF(AND('Mapa final GC'!$AJ$31="Baja",'Mapa final GC'!$AL$31="Moderado"),CONCATENATE("R2C",'Mapa final GC'!$S$31),"")</f>
        <v/>
      </c>
      <c r="AB44" s="55" t="str">
        <f>IF(AND('Mapa final GC'!$AJ$32="Baja",'Mapa final GC'!$AL$32="Moderado"),CONCATENATE("R2C",'Mapa final GC'!$S$32),"")</f>
        <v/>
      </c>
      <c r="AC44" s="38" t="str">
        <f>IF(AND('Mapa final SI'!$AJ$15="Baja",'Mapa final SI'!$AL$15="Mayor"),CONCATENATE("R1C",'Mapa final SI'!$D$15),"")</f>
        <v>R1C1SI</v>
      </c>
      <c r="AD44" s="39" t="str">
        <f>IF(AND('Mapa final GC'!$AJ$28="Baja",'Mapa final GC'!$AL$28="Mayor"),CONCATENATE("R2C",'Mapa final GC'!$S$28),"")</f>
        <v/>
      </c>
      <c r="AE44" s="39" t="str">
        <f>IF(AND('Mapa final GC'!$AJ$29="Baja",'Mapa final GC'!$AL$29="Mayor"),CONCATENATE("R2C",'Mapa final GC'!$S$29),"")</f>
        <v/>
      </c>
      <c r="AF44" s="39" t="str">
        <f>IF(AND('Mapa final GC'!$AJ$30="Baja",'Mapa final GC'!$AL$30="Mayor"),CONCATENATE("R2C",'Mapa final GC'!$S$30),"")</f>
        <v/>
      </c>
      <c r="AG44" s="39" t="str">
        <f>IF(AND('Mapa final GC'!$AJ$31="Baja",'Mapa final GC'!$AL$31="Mayor"),CONCATENATE("R2C",'Mapa final GC'!$S$31),"")</f>
        <v/>
      </c>
      <c r="AH44" s="40" t="str">
        <f>IF(AND('Mapa final GC'!$AJ$32="Baja",'Mapa final GC'!$AL$32="Mayor"),CONCATENATE("R2C",'Mapa final GC'!$S$32),"")</f>
        <v/>
      </c>
      <c r="AI44" s="41" t="str">
        <f>IF(AND('Mapa final GC'!$AJ$27="Baja",'Mapa final GC'!$AL$27="Catastrófico"),CONCATENATE("R2C",'Mapa final GC'!$S$27),"")</f>
        <v/>
      </c>
      <c r="AJ44" s="42" t="str">
        <f>IF(AND('Mapa final GC'!$AJ$28="Baja",'Mapa final GC'!$AL$28="Catastrófico"),CONCATENATE("R2C",'Mapa final GC'!$S$28),"")</f>
        <v/>
      </c>
      <c r="AK44" s="42" t="str">
        <f>IF(AND('Mapa final GC'!$AJ$29="Baja",'Mapa final GC'!$AL$29="Catastrófico"),CONCATENATE("R2C",'Mapa final GC'!$S$29),"")</f>
        <v/>
      </c>
      <c r="AL44" s="42" t="str">
        <f>IF(AND('Mapa final GC'!$AJ$30="Baja",'Mapa final GC'!$AL$30="Catastrófico"),CONCATENATE("R2C",'Mapa final GC'!$S$30),"")</f>
        <v/>
      </c>
      <c r="AM44" s="42" t="str">
        <f>IF(AND('Mapa final GC'!$AJ$31="Baja",'Mapa final GC'!$AL$31="Catastrófico"),CONCATENATE("R2C",'Mapa final GC'!$S$31),"")</f>
        <v/>
      </c>
      <c r="AN44" s="43" t="str">
        <f>IF(AND('Mapa final GC'!$AJ$32="Baja",'Mapa final GC'!$AL$32="Catastrófico"),CONCATENATE("R2C",'Mapa final GC'!$S$32),"")</f>
        <v/>
      </c>
      <c r="AO44" s="69"/>
      <c r="AP44" s="809"/>
      <c r="AQ44" s="810"/>
      <c r="AR44" s="810"/>
      <c r="AS44" s="810"/>
      <c r="AT44" s="810"/>
      <c r="AU44" s="811"/>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row>
    <row r="45" spans="2:77" ht="15" customHeight="1" x14ac:dyDescent="0.25">
      <c r="B45" s="69"/>
      <c r="C45" s="679"/>
      <c r="D45" s="679"/>
      <c r="E45" s="680"/>
      <c r="F45" s="778"/>
      <c r="G45" s="779"/>
      <c r="H45" s="779"/>
      <c r="I45" s="779"/>
      <c r="J45" s="779"/>
      <c r="K45" s="62" t="str">
        <f>IF(AND('Mapa final GC'!$AJ$33="Baja",'Mapa final GC'!$AL$33="Leve"),CONCATENATE("R2C",'Mapa final GC'!$S$33),"")</f>
        <v/>
      </c>
      <c r="L45" s="63" t="str">
        <f>IF(AND('Mapa final GC'!$AJ$34="Baja",'Mapa final GC'!$AL$34="Leve"),CONCATENATE("R2C",'Mapa final GC'!$S$34),"")</f>
        <v/>
      </c>
      <c r="M45" s="63" t="str">
        <f>IF(AND('Mapa final GC'!$AJ$35="Baja",'Mapa final GC'!$AL$35="Leve"),CONCATENATE("R2C",'Mapa final GC'!$S$35),"")</f>
        <v/>
      </c>
      <c r="N45" s="63" t="str">
        <f>IF(AND('Mapa final GC'!$AJ$36="Baja",'Mapa final GC'!$AL$36="Leve"),CONCATENATE("R2C",'Mapa final GC'!$S$36),"")</f>
        <v/>
      </c>
      <c r="O45" s="63" t="str">
        <f>IF(AND('Mapa final GC'!$AJ$37="Baja",'Mapa final GC'!$AL$37="Leve"),CONCATENATE("R2C",'Mapa final GC'!$S$37),"")</f>
        <v/>
      </c>
      <c r="P45" s="64" t="str">
        <f>IF(AND('Mapa final GC'!$AJ$38="Baja",'Mapa final GC'!$AL$38="Leve"),CONCATENATE("R2C",'Mapa final GC'!$S$38),"")</f>
        <v/>
      </c>
      <c r="Q45" s="53" t="str">
        <f>IF(AND('Mapa final GC'!$AJ$33="Baja",'Mapa final GC'!$AL$33="Menor"),CONCATENATE("R2C",'Mapa final GC'!$S$33),"")</f>
        <v/>
      </c>
      <c r="R45" s="54" t="str">
        <f>IF(AND('Mapa final GC'!$AJ$34="Baja",'Mapa final GC'!$AL$34="Menor"),CONCATENATE("R2C",'Mapa final GC'!$S$34),"")</f>
        <v/>
      </c>
      <c r="S45" s="54" t="str">
        <f>IF(AND('Mapa final GC'!$AJ$35="Baja",'Mapa final GC'!$AL$35="Menor"),CONCATENATE("R2C",'Mapa final GC'!$S$35),"")</f>
        <v/>
      </c>
      <c r="T45" s="54" t="str">
        <f>IF(AND('Mapa final GC'!$AJ$36="Baja",'Mapa final GC'!$AL$36="Menor"),CONCATENATE("R2C",'Mapa final GC'!$S$36),"")</f>
        <v/>
      </c>
      <c r="U45" s="54" t="str">
        <f>IF(AND('Mapa final GC'!$AJ$37="Baja",'Mapa final GC'!$AL$37="LMenor"),CONCATENATE("R2C",'Mapa final GC'!$S$37),"")</f>
        <v/>
      </c>
      <c r="V45" s="55" t="str">
        <f>IF(AND('Mapa final GC'!$AJ$38="Baja",'Mapa final GC'!$AL$38="Menor"),CONCATENATE("R2C",'Mapa final GC'!$S$38),"")</f>
        <v/>
      </c>
      <c r="W45" s="53" t="str">
        <f>IF(AND('Mapa final GC'!$AJ$33="Baja",'Mapa final GC'!$AL$33="Moderado"),CONCATENATE("R2C",'Mapa final GC'!$S$33),"")</f>
        <v/>
      </c>
      <c r="X45" s="54" t="str">
        <f>IF(AND('Mapa final GC'!$AJ$34="Baja",'Mapa final GC'!$AL$34="Moderado"),CONCATENATE("R2C",'Mapa final GC'!$S$34),"")</f>
        <v/>
      </c>
      <c r="Y45" s="54" t="str">
        <f>IF(AND('Mapa final GC'!$AJ$35="Baja",'Mapa final GC'!$AL$35="Moderado"),CONCATENATE("R2C",'Mapa final GC'!$S$35),"")</f>
        <v/>
      </c>
      <c r="Z45" s="54" t="str">
        <f>IF(AND('Mapa final GC'!$AJ$36="Baja",'Mapa final GC'!$AL$36="Moderado"),CONCATENATE("R2C",'Mapa final GC'!$S$36),"")</f>
        <v/>
      </c>
      <c r="AA45" s="54" t="str">
        <f>IF(AND('Mapa final GC'!$AJ$37="Baja",'Mapa final GC'!$AL$37="Moderado"),CONCATENATE("R2C",'Mapa final GC'!$S$37),"")</f>
        <v/>
      </c>
      <c r="AB45" s="55" t="str">
        <f>IF(AND('Mapa final GC'!$AJ$38="Baja",'Mapa final GC'!$AL$38="Moderado"),CONCATENATE("R2C",'Mapa final GC'!$S$38),"")</f>
        <v/>
      </c>
      <c r="AC45" s="38" t="str">
        <f>IF(AND('Mapa final GC'!$AJ$33="Baja",'Mapa final GC'!$AL$33="Mayor"),CONCATENATE("R2C",'Mapa final GC'!$S$33),"")</f>
        <v/>
      </c>
      <c r="AD45" s="39" t="str">
        <f>IF(AND('Mapa final GC'!$AJ$34="Baja",'Mapa final GC'!$AL$34="Mayor"),CONCATENATE("R2C",'Mapa final GC'!$S$34),"")</f>
        <v/>
      </c>
      <c r="AE45" s="39" t="str">
        <f>IF(AND('Mapa final GC'!$AJ$35="Baja",'Mapa final GC'!$AL$35="Mayor"),CONCATENATE("R2C",'Mapa final GC'!$S$35),"")</f>
        <v/>
      </c>
      <c r="AF45" s="39" t="str">
        <f>IF(AND('Mapa final GC'!$AJ$36="Baja",'Mapa final GC'!$AL$36="Mayor"),CONCATENATE("R2C",'Mapa final GC'!$S$36),"")</f>
        <v/>
      </c>
      <c r="AG45" s="39" t="str">
        <f>IF(AND('Mapa final GC'!$AJ$37="Baja",'Mapa final GC'!$AL$37="Mayor"),CONCATENATE("R2C",'Mapa final GC'!$S$37),"")</f>
        <v/>
      </c>
      <c r="AH45" s="40" t="str">
        <f>IF(AND('Mapa final GC'!$AJ$38="Baja",'Mapa final GC'!$AL$38="Mayor"),CONCATENATE("R2C",'Mapa final GC'!$S$38),"")</f>
        <v/>
      </c>
      <c r="AI45" s="41" t="str">
        <f>IF(AND('Mapa final GC'!$AJ$33="Baja",'Mapa final GC'!$AL$33="Catastrófico"),CONCATENATE("R2C",'Mapa final GC'!$S$33),"")</f>
        <v/>
      </c>
      <c r="AJ45" s="42" t="str">
        <f>IF(AND('Mapa final GC'!$AJ$34="Baja",'Mapa final GC'!$AL$34="Catastrófico"),CONCATENATE("R2C",'Mapa final GC'!$S$34),"")</f>
        <v/>
      </c>
      <c r="AK45" s="42" t="str">
        <f>IF(AND('Mapa final GC'!$AJ$35="Baja",'Mapa final GC'!$AL$35="Catastrófico"),CONCATENATE("R2C",'Mapa final GC'!$S$35),"")</f>
        <v/>
      </c>
      <c r="AL45" s="42" t="str">
        <f>IF(AND('Mapa final GC'!$AJ$36="Baja",'Mapa final GC'!$AL$36="Catastrófico"),CONCATENATE("R2C",'Mapa final GC'!$S$36),"")</f>
        <v/>
      </c>
      <c r="AM45" s="42" t="str">
        <f>IF(AND('Mapa final GC'!$AJ$37="Baja",'Mapa final GC'!$AL$37="LCatastrófico"),CONCATENATE("R2C",'Mapa final GC'!$S$37),"")</f>
        <v/>
      </c>
      <c r="AN45" s="43" t="str">
        <f>IF(AND('Mapa final GC'!$AJ$38="Baja",'Mapa final GC'!$AL$38="Catastrófico"),CONCATENATE("R2C",'Mapa final GC'!$S$38),"")</f>
        <v/>
      </c>
      <c r="AO45" s="69"/>
      <c r="AP45" s="809"/>
      <c r="AQ45" s="810"/>
      <c r="AR45" s="810"/>
      <c r="AS45" s="810"/>
      <c r="AT45" s="810"/>
      <c r="AU45" s="811"/>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row>
    <row r="46" spans="2:77" ht="15" customHeight="1" x14ac:dyDescent="0.25">
      <c r="B46" s="69"/>
      <c r="C46" s="679"/>
      <c r="D46" s="679"/>
      <c r="E46" s="680"/>
      <c r="F46" s="778"/>
      <c r="G46" s="779"/>
      <c r="H46" s="779"/>
      <c r="I46" s="779"/>
      <c r="J46" s="779"/>
      <c r="K46" s="62" t="str">
        <f>IF(AND('Mapa final GC'!$AJ$39="Baja",'Mapa final GC'!$AL$39="Leve"),CONCATENATE("R2C",'Mapa final GC'!$S$39),"")</f>
        <v/>
      </c>
      <c r="L46" s="63" t="str">
        <f>IF(AND('Mapa final GC'!$AJ$40="Baja",'Mapa final GC'!$AL$40="Leve"),CONCATENATE("R2C",'Mapa final GC'!$S$40),"")</f>
        <v/>
      </c>
      <c r="M46" s="63" t="str">
        <f>IF(AND('Mapa final GC'!$AJ$41="Baja",'Mapa final GC'!$AL$41="Leve"),CONCATENATE("R2C",'Mapa final GC'!$S$41),"")</f>
        <v/>
      </c>
      <c r="N46" s="63" t="str">
        <f>IF(AND('Mapa final GC'!$AJ$42="Baja",'Mapa final GC'!$AL$42="Leve"),CONCATENATE("R2C",'Mapa final GC'!$S$42),"")</f>
        <v/>
      </c>
      <c r="O46" s="63" t="str">
        <f>IF(AND('Mapa final GC'!$AJ$43="Baja",'Mapa final GC'!$AL$43="Leve"),CONCATENATE("R2C",'Mapa final GC'!$S$43),"")</f>
        <v/>
      </c>
      <c r="P46" s="64" t="str">
        <f>IF(AND('Mapa final GC'!$AJ$44="Baja",'Mapa final GC'!$AL$44="Leve"),CONCATENATE("R2C",'Mapa final GC'!$S$44),"")</f>
        <v/>
      </c>
      <c r="Q46" s="53" t="str">
        <f>IF(AND('Mapa final GC'!$AJ$39="Baja",'Mapa final GC'!$AL$39="Menor"),CONCATENATE("R2C",'Mapa final GC'!$S$39),"")</f>
        <v/>
      </c>
      <c r="R46" s="54" t="str">
        <f>IF(AND('Mapa final GC'!$AJ$40="Baja",'Mapa final GC'!$AL$40="Menor"),CONCATENATE("R2C",'Mapa final GC'!$S$40),"")</f>
        <v/>
      </c>
      <c r="S46" s="54" t="str">
        <f>IF(AND('Mapa final GC'!$AJ$41="Baja",'Mapa final GC'!$AL$41="Menor"),CONCATENATE("R2C",'Mapa final GC'!$S$41),"")</f>
        <v/>
      </c>
      <c r="T46" s="54" t="str">
        <f>IF(AND('Mapa final GC'!$AJ$42="Baja",'Mapa final GC'!$AL$42="Menor"),CONCATENATE("R2C",'Mapa final GC'!$S$42),"")</f>
        <v/>
      </c>
      <c r="U46" s="54" t="str">
        <f>IF(AND('Mapa final GC'!$AJ$43="Baja",'Mapa final GC'!$AL$43="Menor"),CONCATENATE("R2C",'Mapa final GC'!$S$43),"")</f>
        <v/>
      </c>
      <c r="V46" s="55" t="str">
        <f>IF(AND('Mapa final GC'!$AJ$44="Baja",'Mapa final GC'!$AL$44="Menor"),CONCATENATE("R2C",'Mapa final GC'!$S$44),"")</f>
        <v/>
      </c>
      <c r="W46" s="53" t="str">
        <f>IF(AND('Mapa final GC'!$AJ$39="Baja",'Mapa final GC'!$AL$39="Moderado"),CONCATENATE("R2C",'Mapa final GC'!$S$39),"")</f>
        <v/>
      </c>
      <c r="X46" s="54" t="str">
        <f>IF(AND('Mapa final GC'!$AJ$40="Baja",'Mapa final GC'!$AL$40="Moderado"),CONCATENATE("R2C",'Mapa final GC'!$S$40),"")</f>
        <v/>
      </c>
      <c r="Y46" s="54" t="str">
        <f>IF(AND('Mapa final GC'!$AJ$41="Baja",'Mapa final GC'!$AL$41="Moderado"),CONCATENATE("R2C",'Mapa final GC'!$S$41),"")</f>
        <v/>
      </c>
      <c r="Z46" s="54" t="str">
        <f>IF(AND('Mapa final GC'!$AJ$42="Baja",'Mapa final GC'!$AL$42="Moderado"),CONCATENATE("R2C",'Mapa final GC'!$S$42),"")</f>
        <v/>
      </c>
      <c r="AA46" s="54" t="str">
        <f>IF(AND('Mapa final GC'!$AJ$43="Baja",'Mapa final GC'!$AL$43="Moderado"),CONCATENATE("R2C",'Mapa final GC'!$S$43),"")</f>
        <v/>
      </c>
      <c r="AB46" s="55" t="str">
        <f>IF(AND('Mapa final GC'!$AJ$44="Baja",'Mapa final GC'!$AL$44="Moderado"),CONCATENATE("R2C",'Mapa final GC'!$S$44),"")</f>
        <v/>
      </c>
      <c r="AC46" s="38" t="str">
        <f>IF(AND('Mapa final SI'!$AJ$34="Baja",'Mapa final SI'!$AL$34="Mayor"),CONCATENATE("R4C",'Mapa final SI'!$D$34),"")</f>
        <v>R4C4SI</v>
      </c>
      <c r="AD46" s="39" t="str">
        <f>IF(AND('Mapa final GC'!$AJ$40="Baja",'Mapa final GC'!$AL$40="Mayor"),CONCATENATE("R2C",'Mapa final GC'!$S$40),"")</f>
        <v/>
      </c>
      <c r="AE46" s="39" t="str">
        <f>IF(AND('Mapa final GC'!$AJ$41="Baja",'Mapa final GC'!$AL$41="Mayor"),CONCATENATE("R2C",'Mapa final GC'!$S$41),"")</f>
        <v/>
      </c>
      <c r="AF46" s="39" t="str">
        <f>IF(AND('Mapa final GC'!$AJ$42="Baja",'Mapa final GC'!$AL$42="Mayor"),CONCATENATE("R2C",'Mapa final GC'!$S$42),"")</f>
        <v/>
      </c>
      <c r="AG46" s="39" t="str">
        <f>IF(AND('Mapa final GC'!$AJ$43="Baja",'Mapa final GC'!$AL$43="Mayor"),CONCATENATE("R2C",'Mapa final GC'!$S$43),"")</f>
        <v/>
      </c>
      <c r="AH46" s="40" t="str">
        <f>IF(AND('Mapa final GC'!$AJ$44="Baja",'Mapa final GC'!$AL$44="Mayor"),CONCATENATE("R2C",'Mapa final GC'!$S$44),"")</f>
        <v/>
      </c>
      <c r="AI46" s="41" t="str">
        <f>IF(AND('Mapa final GC'!$AJ$39="Baja",'Mapa final GC'!$AL$39="Catastrófico"),CONCATENATE("R2C",'Mapa final GC'!$S$39),"")</f>
        <v/>
      </c>
      <c r="AJ46" s="42" t="str">
        <f>IF(AND('Mapa final GC'!$AJ$40="Baja",'Mapa final GC'!$AL$40="Catastrófico"),CONCATENATE("R2C",'Mapa final GC'!$S$40),"")</f>
        <v/>
      </c>
      <c r="AK46" s="42" t="str">
        <f>IF(AND('Mapa final GC'!$AJ$41="Baja",'Mapa final GC'!$AL$41="Catastrófico"),CONCATENATE("R2C",'Mapa final GC'!$S$41),"")</f>
        <v/>
      </c>
      <c r="AL46" s="42" t="str">
        <f>IF(AND('Mapa final GC'!$AJ$42="Baja",'Mapa final GC'!$AL$42="Catastrófico"),CONCATENATE("R2C",'Mapa final GC'!$S$42),"")</f>
        <v/>
      </c>
      <c r="AM46" s="42" t="str">
        <f>IF(AND('Mapa final GC'!$AJ$43="Baja",'Mapa final GC'!$AL$43="Catastrófico"),CONCATENATE("R2C",'Mapa final GC'!$S$43),"")</f>
        <v/>
      </c>
      <c r="AN46" s="43" t="str">
        <f>IF(AND('Mapa final GC'!$AJ$44="Baja",'Mapa final GC'!$AL$44="Catastrófico"),CONCATENATE("R2C",'Mapa final GC'!$S$44),"")</f>
        <v/>
      </c>
      <c r="AO46" s="69"/>
      <c r="AP46" s="809"/>
      <c r="AQ46" s="810"/>
      <c r="AR46" s="810"/>
      <c r="AS46" s="810"/>
      <c r="AT46" s="810"/>
      <c r="AU46" s="811"/>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row>
    <row r="47" spans="2:77" ht="15" customHeight="1" x14ac:dyDescent="0.25">
      <c r="B47" s="69"/>
      <c r="C47" s="679"/>
      <c r="D47" s="679"/>
      <c r="E47" s="680"/>
      <c r="F47" s="778"/>
      <c r="G47" s="779"/>
      <c r="H47" s="779"/>
      <c r="I47" s="779"/>
      <c r="J47" s="779"/>
      <c r="K47" s="62" t="str">
        <f>IF(AND('Mapa final GC'!$AJ$45="Baja",'Mapa final GC'!$AL$45="Leve"),CONCATENATE("R2C",'Mapa final GC'!$S$45),"")</f>
        <v/>
      </c>
      <c r="L47" s="63" t="str">
        <f>IF(AND('Mapa final GC'!$AJ$46="Baja",'Mapa final GC'!$AL$46="Leve"),CONCATENATE("R2C",'Mapa final GC'!$S$46),"")</f>
        <v/>
      </c>
      <c r="M47" s="63" t="str">
        <f>IF(AND('Mapa final GC'!$AJ$47="Baja",'Mapa final GC'!$AL$47="Leve"),CONCATENATE("R2C",'Mapa final GC'!$S$47),"")</f>
        <v/>
      </c>
      <c r="N47" s="63" t="str">
        <f>IF(AND('Mapa final GC'!$AJ$48="Baja",'Mapa final GC'!$AL$48="Leve"),CONCATENATE("R2C",'Mapa final GC'!$S$48),"")</f>
        <v/>
      </c>
      <c r="O47" s="63" t="str">
        <f>IF(AND('Mapa final GC'!$AJ$49="Baja",'Mapa final GC'!$AL$49="Leve"),CONCATENATE("R2C",'Mapa final GC'!$S$49),"")</f>
        <v/>
      </c>
      <c r="P47" s="64" t="str">
        <f>IF(AND('Mapa final GC'!$AJ$60="Baja",'Mapa final GC'!$AL$50="Leve"),CONCATENATE("R2C",'Mapa final GC'!$S$50),"")</f>
        <v/>
      </c>
      <c r="Q47" s="53" t="str">
        <f>IF(AND('Mapa final GC'!$AJ$45="Baja",'Mapa final GC'!$AL$45="Menor"),CONCATENATE("R2C",'Mapa final GC'!$S$45),"")</f>
        <v/>
      </c>
      <c r="R47" s="54" t="str">
        <f>IF(AND('Mapa final GC'!$AJ$46="Baja",'Mapa final GC'!$AL$46="Menor"),CONCATENATE("R2C",'Mapa final GC'!$S$46),"")</f>
        <v/>
      </c>
      <c r="S47" s="54" t="str">
        <f>IF(AND('Mapa final GC'!$AJ$47="Baja",'Mapa final GC'!$AL$47="Menor"),CONCATENATE("R2C",'Mapa final GC'!$S$47),"")</f>
        <v/>
      </c>
      <c r="T47" s="54" t="str">
        <f>IF(AND('Mapa final GC'!$AJ$48="Baja",'Mapa final GC'!$AL$48="Menor"),CONCATENATE("R2C",'Mapa final GC'!$S$48),"")</f>
        <v/>
      </c>
      <c r="U47" s="54" t="str">
        <f>IF(AND('Mapa final GC'!$AJ$49="Baja",'Mapa final GC'!$AL$49="Menor"),CONCATENATE("R2C",'Mapa final GC'!$S$49),"")</f>
        <v/>
      </c>
      <c r="V47" s="55" t="str">
        <f>IF(AND('Mapa final GC'!$AJ$60="Baja",'Mapa final GC'!$AL$50="Menor"),CONCATENATE("R2C",'Mapa final GC'!$S$50),"")</f>
        <v/>
      </c>
      <c r="W47" s="53" t="str">
        <f>IF(AND('Mapa final GC'!$AJ$45="Baja",'Mapa final GC'!$AL$45="Moderado"),CONCATENATE("R2C",'Mapa final GC'!$S$45),"")</f>
        <v/>
      </c>
      <c r="X47" s="54" t="str">
        <f>IF(AND('Mapa final GC'!$AJ$46="Baja",'Mapa final GC'!$AL$46="Moderado"),CONCATENATE("R2C",'Mapa final GC'!$S$46),"")</f>
        <v/>
      </c>
      <c r="Y47" s="54" t="str">
        <f>IF(AND('Mapa final GC'!$AJ$47="Baja",'Mapa final GC'!$AL$47="Moderado"),CONCATENATE("R2C",'Mapa final GC'!$S$47),"")</f>
        <v/>
      </c>
      <c r="Z47" s="54" t="str">
        <f>IF(AND('Mapa final GC'!$AJ$48="Baja",'Mapa final GC'!$AL$48="Moderado"),CONCATENATE("R2C",'Mapa final GC'!$S$48),"")</f>
        <v/>
      </c>
      <c r="AA47" s="54" t="str">
        <f>IF(AND('Mapa final GC'!$AJ$49="Baja",'Mapa final GC'!$AL$49="Moderado"),CONCATENATE("R2C",'Mapa final GC'!$S$49),"")</f>
        <v/>
      </c>
      <c r="AB47" s="55" t="str">
        <f>IF(AND('Mapa final GC'!$AJ$60="Baja",'Mapa final GC'!$AL$50="Moderado"),CONCATENATE("R2C",'Mapa final GC'!$S$50),"")</f>
        <v/>
      </c>
      <c r="AC47" s="38" t="str">
        <f>IF(AND('Mapa final GC'!$AJ$45="Baja",'Mapa final GC'!$AL$45="Mayor"),CONCATENATE("R2C",'Mapa final GC'!$S$45),"")</f>
        <v/>
      </c>
      <c r="AD47" s="39" t="str">
        <f>IF(AND('Mapa final GC'!$AJ$46="Baja",'Mapa final GC'!$AL$46="Mayor"),CONCATENATE("R2C",'Mapa final GC'!$S$46),"")</f>
        <v/>
      </c>
      <c r="AE47" s="39" t="str">
        <f>IF(AND('Mapa final GC'!$AJ$47="Baja",'Mapa final GC'!$AL$47="Mayor"),CONCATENATE("R2C",'Mapa final GC'!$S$47),"")</f>
        <v/>
      </c>
      <c r="AF47" s="39" t="str">
        <f>IF(AND('Mapa final GC'!$AJ$48="Baja",'Mapa final GC'!$AL$48="Mayor"),CONCATENATE("R2C",'Mapa final GC'!$S$48),"")</f>
        <v/>
      </c>
      <c r="AG47" s="39" t="str">
        <f>IF(AND('Mapa final GC'!$AJ$49="Baja",'Mapa final GC'!$AL$49="Mayor"),CONCATENATE("R2C",'Mapa final GC'!$S$49),"")</f>
        <v/>
      </c>
      <c r="AH47" s="40" t="str">
        <f>IF(AND('Mapa final GC'!$AJ$60="Baja",'Mapa final GC'!$AL$50="Mayor"),CONCATENATE("R2C",'Mapa final GC'!$S$50),"")</f>
        <v/>
      </c>
      <c r="AI47" s="41" t="str">
        <f>IF(AND('Mapa final GC'!$AJ$45="Baja",'Mapa final GC'!$AL$45="Catastrófico"),CONCATENATE("R2C",'Mapa final GC'!$S$45),"")</f>
        <v/>
      </c>
      <c r="AJ47" s="42" t="str">
        <f>IF(AND('Mapa final GC'!$AJ$46="Baja",'Mapa final GC'!$AL$46="Catastrófico"),CONCATENATE("R2C",'Mapa final GC'!$S$46),"")</f>
        <v/>
      </c>
      <c r="AK47" s="42" t="str">
        <f>IF(AND('Mapa final GC'!$AJ$47="Baja",'Mapa final GC'!$AL$47="Catastrófico"),CONCATENATE("R2C",'Mapa final GC'!$S$47),"")</f>
        <v/>
      </c>
      <c r="AL47" s="42" t="str">
        <f>IF(AND('Mapa final GC'!$AJ$48="Baja",'Mapa final GC'!$AL$48="Catastrófico"),CONCATENATE("R2C",'Mapa final GC'!$S$48),"")</f>
        <v/>
      </c>
      <c r="AM47" s="42" t="str">
        <f>IF(AND('Mapa final GC'!$AJ$49="Baja",'Mapa final GC'!$AL$49="Catastrófico"),CONCATENATE("R2C",'Mapa final GC'!$S$49),"")</f>
        <v/>
      </c>
      <c r="AN47" s="43" t="str">
        <f>IF(AND('Mapa final GC'!$AJ$60="Baja",'Mapa final GC'!$AL$50="Catastrófico"),CONCATENATE("R2C",'Mapa final GC'!$S$50),"")</f>
        <v/>
      </c>
      <c r="AO47" s="69"/>
      <c r="AP47" s="809"/>
      <c r="AQ47" s="810"/>
      <c r="AR47" s="810"/>
      <c r="AS47" s="810"/>
      <c r="AT47" s="810"/>
      <c r="AU47" s="811"/>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row>
    <row r="48" spans="2:77" ht="15" customHeight="1" x14ac:dyDescent="0.25">
      <c r="B48" s="69"/>
      <c r="C48" s="679"/>
      <c r="D48" s="679"/>
      <c r="E48" s="680"/>
      <c r="F48" s="778"/>
      <c r="G48" s="779"/>
      <c r="H48" s="779"/>
      <c r="I48" s="779"/>
      <c r="J48" s="779"/>
      <c r="K48" s="62" t="str">
        <f>IF(AND('Mapa final GC'!$AJ$51="Baja",'Mapa final GC'!$AL$51="Leve"),CONCATENATE("R2C",'Mapa final GC'!$S$51),"")</f>
        <v/>
      </c>
      <c r="L48" s="63" t="str">
        <f>IF(AND('Mapa final GC'!$AJ$52="Baja",'Mapa final GC'!$AL$52="Leve"),CONCATENATE("R2C",'Mapa final GC'!$S$52),"")</f>
        <v/>
      </c>
      <c r="M48" s="63" t="str">
        <f>IF(AND('Mapa final GC'!$AJ$53="Baja",'Mapa final GC'!$AL$53="Leve"),CONCATENATE("R2C",'Mapa final GC'!$S$53),"")</f>
        <v/>
      </c>
      <c r="N48" s="63" t="str">
        <f>IF(AND('Mapa final GC'!$AJ$54="Baja",'Mapa final GC'!$AL$54="Leve"),CONCATENATE("R2C",'Mapa final GC'!$S$54),"")</f>
        <v/>
      </c>
      <c r="O48" s="63" t="str">
        <f>IF(AND('Mapa final GC'!$AJ$55="Baja",'Mapa final GC'!$AL$55="Leve"),CONCATENATE("R2C",'Mapa final GC'!$S$55),"")</f>
        <v/>
      </c>
      <c r="P48" s="64" t="str">
        <f>IF(AND('Mapa final GC'!$AJ$56="Baja",'Mapa final GC'!$AL$56="Leve"),CONCATENATE("R2C",'Mapa final GC'!$S$56),"")</f>
        <v/>
      </c>
      <c r="Q48" s="53" t="str">
        <f>IF(AND('Mapa final GC'!$AJ$51="Baja",'Mapa final GC'!$AL$51="Menor"),CONCATENATE("R2C",'Mapa final GC'!$S$51),"")</f>
        <v/>
      </c>
      <c r="R48" s="54" t="str">
        <f>IF(AND('Mapa final GC'!$AJ$52="Baja",'Mapa final GC'!$AL$52="Menor"),CONCATENATE("R2C",'Mapa final GC'!$S$52),"")</f>
        <v/>
      </c>
      <c r="S48" s="54" t="str">
        <f>IF(AND('Mapa final GC'!$AJ$53="Baja",'Mapa final GC'!$AL$53="Menor"),CONCATENATE("R2C",'Mapa final GC'!$S$53),"")</f>
        <v/>
      </c>
      <c r="T48" s="54" t="str">
        <f>IF(AND('Mapa final GC'!$AJ$54="Baja",'Mapa final GC'!$AL$54="Menor"),CONCATENATE("R2C",'Mapa final GC'!$S$54),"")</f>
        <v/>
      </c>
      <c r="U48" s="54" t="str">
        <f>IF(AND('Mapa final GC'!$AJ$55="Baja",'Mapa final GC'!$AL$55="Menor"),CONCATENATE("R2C",'Mapa final GC'!$S$55),"")</f>
        <v/>
      </c>
      <c r="V48" s="55" t="str">
        <f>IF(AND('Mapa final GC'!$AJ$56="Baja",'Mapa final GC'!$AL$56="Menor"),CONCATENATE("R2C",'Mapa final GC'!$S$56),"")</f>
        <v/>
      </c>
      <c r="W48" s="53" t="str">
        <f>IF(AND('Mapa final GC'!$AJ$51="Baja",'Mapa final GC'!$AL$51="Moderado"),CONCATENATE("R2C",'Mapa final GC'!$S$51),"")</f>
        <v/>
      </c>
      <c r="X48" s="54" t="str">
        <f>IF(AND('Mapa final GC'!$AJ$52="Baja",'Mapa final GC'!$AL$52="Moderado"),CONCATENATE("R2C",'Mapa final GC'!$S$52),"")</f>
        <v/>
      </c>
      <c r="Y48" s="54" t="str">
        <f>IF(AND('Mapa final GC'!$AJ$53="Baja",'Mapa final GC'!$AL$53="Moderado"),CONCATENATE("R2C",'Mapa final GC'!$S$53),"")</f>
        <v/>
      </c>
      <c r="Z48" s="54" t="str">
        <f>IF(AND('Mapa final GC'!$AJ$54="Baja",'Mapa final GC'!$AL$54="Moderado"),CONCATENATE("R2C",'Mapa final GC'!$S$54),"")</f>
        <v/>
      </c>
      <c r="AA48" s="54" t="str">
        <f>IF(AND('Mapa final GC'!$AJ$55="Baja",'Mapa final GC'!$AL$55="Moderado"),CONCATENATE("R2C",'Mapa final GC'!$S$55),"")</f>
        <v/>
      </c>
      <c r="AB48" s="55" t="str">
        <f>IF(AND('Mapa final GC'!$AJ$56="Baja",'Mapa final GC'!$AL$56="Moderado"),CONCATENATE("R2C",'Mapa final GC'!$S$56),"")</f>
        <v/>
      </c>
      <c r="AC48" s="38" t="str">
        <f>IF(AND('Mapa final GC'!$AJ$51="Baja",'Mapa final GC'!$AL$51="Mayor"),CONCATENATE("R2C",'Mapa final GC'!$S$51),"")</f>
        <v/>
      </c>
      <c r="AD48" s="39" t="str">
        <f>IF(AND('Mapa final GC'!$AJ$52="Baja",'Mapa final GC'!$AL$52="Mayor"),CONCATENATE("R2C",'Mapa final GC'!$S$52),"")</f>
        <v/>
      </c>
      <c r="AE48" s="39" t="str">
        <f>IF(AND('Mapa final GC'!$AJ$53="Baja",'Mapa final GC'!$AL$53="Mayor"),CONCATENATE("R2C",'Mapa final GC'!$S$53),"")</f>
        <v/>
      </c>
      <c r="AF48" s="39" t="str">
        <f>IF(AND('Mapa final GC'!$AJ$54="Baja",'Mapa final GC'!$AL$54="Mayor"),CONCATENATE("R2C",'Mapa final GC'!$S$54),"")</f>
        <v/>
      </c>
      <c r="AG48" s="39" t="str">
        <f>IF(AND('Mapa final GC'!$AJ$55="Baja",'Mapa final GC'!$AL$55="Mayor"),CONCATENATE("R2C",'Mapa final GC'!$S$55),"")</f>
        <v/>
      </c>
      <c r="AH48" s="40" t="str">
        <f>IF(AND('Mapa final GC'!$AJ$56="Baja",'Mapa final GC'!$AL$56="Mayor"),CONCATENATE("R2C",'Mapa final GC'!$S$56),"")</f>
        <v/>
      </c>
      <c r="AI48" s="41" t="str">
        <f>IF(AND('Mapa final GC'!$AJ$51="Baja",'Mapa final GC'!$AL$51="Catastrófico"),CONCATENATE("R2C",'Mapa final GC'!$S$51),"")</f>
        <v/>
      </c>
      <c r="AJ48" s="42" t="str">
        <f>IF(AND('Mapa final GC'!$AJ$52="Baja",'Mapa final GC'!$AL$52="Catastrófico"),CONCATENATE("R2C",'Mapa final GC'!$S$52),"")</f>
        <v/>
      </c>
      <c r="AK48" s="42" t="str">
        <f>IF(AND('Mapa final GC'!$AJ$53="Baja",'Mapa final GC'!$AL$53="Catastrófico"),CONCATENATE("R2C",'Mapa final GC'!$S$53),"")</f>
        <v/>
      </c>
      <c r="AL48" s="42" t="str">
        <f>IF(AND('Mapa final GC'!$AJ$54="Baja",'Mapa final GC'!$AL$54="Catastrófico"),CONCATENATE("R2C",'Mapa final GC'!$S$54),"")</f>
        <v/>
      </c>
      <c r="AM48" s="42" t="str">
        <f>IF(AND('Mapa final GC'!$AJ$55="Baja",'Mapa final GC'!$AL$55="Catastrófico"),CONCATENATE("R2C",'Mapa final GC'!$S$55),"")</f>
        <v/>
      </c>
      <c r="AN48" s="43" t="str">
        <f>IF(AND('Mapa final GC'!$AJ$56="Baja",'Mapa final GC'!$AL$56="Catastrófico"),CONCATENATE("R2C",'Mapa final GC'!$S$56),"")</f>
        <v/>
      </c>
      <c r="AO48" s="69"/>
      <c r="AP48" s="809"/>
      <c r="AQ48" s="810"/>
      <c r="AR48" s="810"/>
      <c r="AS48" s="810"/>
      <c r="AT48" s="810"/>
      <c r="AU48" s="811"/>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row>
    <row r="49" spans="2:81" ht="15" customHeight="1" x14ac:dyDescent="0.25">
      <c r="B49" s="69"/>
      <c r="C49" s="679"/>
      <c r="D49" s="679"/>
      <c r="E49" s="680"/>
      <c r="F49" s="778"/>
      <c r="G49" s="779"/>
      <c r="H49" s="779"/>
      <c r="I49" s="779"/>
      <c r="J49" s="779"/>
      <c r="K49" s="62" t="str">
        <f>IF(AND('Mapa final GC'!$AJ$57="Baja",'Mapa final GC'!$AL$57="Leve"),CONCATENATE("R2C",'Mapa final GC'!$S$57),"")</f>
        <v/>
      </c>
      <c r="L49" s="63" t="str">
        <f>IF(AND('Mapa final GC'!$AJ$58="Baja",'Mapa final GC'!$AL$58="Leve"),CONCATENATE("R2C",'Mapa final GC'!$S$58),"")</f>
        <v/>
      </c>
      <c r="M49" s="63" t="str">
        <f>IF(AND('Mapa final GC'!$AJ$59="Baja",'Mapa final GC'!$AL$59="Leve"),CONCATENATE("R2C",'Mapa final GC'!$S$59),"")</f>
        <v/>
      </c>
      <c r="N49" s="63" t="str">
        <f>IF(AND('Mapa final GC'!$AJ$60="Baja",'Mapa final GC'!$AL$60="Leve"),CONCATENATE("R2C",'Mapa final GC'!$S$60),"")</f>
        <v/>
      </c>
      <c r="O49" s="63" t="str">
        <f>IF(AND('Mapa final GC'!$AJ$61="Baja",'Mapa final GC'!$AL$61="Leve"),CONCATENATE("R2C",'Mapa final GC'!$S$61),"")</f>
        <v/>
      </c>
      <c r="P49" s="64" t="str">
        <f>IF(AND('Mapa final GC'!$AJ$62="Baja",'Mapa final GC'!$AL$62="Leve"),CONCATENATE("R2C",'Mapa final GC'!$S$62),"")</f>
        <v/>
      </c>
      <c r="Q49" s="53" t="str">
        <f>IF(AND('Mapa final GC'!$AJ$57="Baja",'Mapa final GC'!$AL$57="Menor"),CONCATENATE("R2C",'Mapa final GC'!$S$57),"")</f>
        <v/>
      </c>
      <c r="R49" s="54" t="str">
        <f>IF(AND('Mapa final GC'!$AJ$58="Baja",'Mapa final GC'!$AL$58="Menor"),CONCATENATE("R2C",'Mapa final GC'!$S$58),"")</f>
        <v/>
      </c>
      <c r="S49" s="54" t="str">
        <f>IF(AND('Mapa final GC'!$AJ$59="Baja",'Mapa final GC'!$AL$59="Menor"),CONCATENATE("R2C",'Mapa final GC'!$S$59),"")</f>
        <v/>
      </c>
      <c r="T49" s="54" t="str">
        <f>IF(AND('Mapa final GC'!$AJ$60="Baja",'Mapa final GC'!$AL$60="Menor"),CONCATENATE("R2C",'Mapa final GC'!$S$60),"")</f>
        <v/>
      </c>
      <c r="U49" s="54" t="str">
        <f>IF(AND('Mapa final GC'!$AJ$61="Baja",'Mapa final GC'!$AL$61="Menor"),CONCATENATE("R2C",'Mapa final GC'!$S$61),"")</f>
        <v/>
      </c>
      <c r="V49" s="55" t="str">
        <f>IF(AND('Mapa final GC'!$AJ$62="Baja",'Mapa final GC'!$AL$62="Menor"),CONCATENATE("R2C",'Mapa final GC'!$S$62),"")</f>
        <v/>
      </c>
      <c r="W49" s="53" t="str">
        <f>IF(AND('Mapa final GC'!$AJ$57="Baja",'Mapa final GC'!$AL$57="Moderado"),CONCATENATE("R2C",'Mapa final GC'!$S$57),"")</f>
        <v/>
      </c>
      <c r="X49" s="54" t="str">
        <f>IF(AND('Mapa final GC'!$AJ$58="Baja",'Mapa final GC'!$AL$58="Moderado"),CONCATENATE("R2C",'Mapa final GC'!$S$58),"")</f>
        <v/>
      </c>
      <c r="Y49" s="54" t="str">
        <f>IF(AND('Mapa final GC'!$AJ$59="Baja",'Mapa final GC'!$AL$59="Moderado"),CONCATENATE("R2C",'Mapa final GC'!$S$59),"")</f>
        <v/>
      </c>
      <c r="Z49" s="54" t="str">
        <f>IF(AND('Mapa final GC'!$AJ$60="Baja",'Mapa final GC'!$AL$60="Moderado"),CONCATENATE("R2C",'Mapa final GC'!$S$60),"")</f>
        <v/>
      </c>
      <c r="AA49" s="54" t="str">
        <f>IF(AND('Mapa final GC'!$AJ$61="Baja",'Mapa final GC'!$AL$61="Moderado"),CONCATENATE("R2C",'Mapa final GC'!$S$61),"")</f>
        <v/>
      </c>
      <c r="AB49" s="55" t="str">
        <f>IF(AND('Mapa final GC'!$AJ$62="Baja",'Mapa final GC'!$AL$62="Moderado"),CONCATENATE("R2C",'Mapa final GC'!$S$62),"")</f>
        <v/>
      </c>
      <c r="AC49" s="38" t="str">
        <f>IF(AND('Mapa final GC'!$AJ$57="Baja",'Mapa final GC'!$AL$57="Mayor"),CONCATENATE("R2C",'Mapa final GC'!$S$57),"")</f>
        <v/>
      </c>
      <c r="AD49" s="39" t="str">
        <f>IF(AND('Mapa final GC'!$AJ$58="Baja",'Mapa final GC'!$AL$58="Mayor"),CONCATENATE("R2C",'Mapa final GC'!$S$58),"")</f>
        <v/>
      </c>
      <c r="AE49" s="39" t="str">
        <f>IF(AND('Mapa final GC'!$AJ$59="Baja",'Mapa final GC'!$AL$59="Mayor"),CONCATENATE("R2C",'Mapa final GC'!$S$59),"")</f>
        <v/>
      </c>
      <c r="AF49" s="39" t="str">
        <f>IF(AND('Mapa final GC'!$AJ$60="Baja",'Mapa final GC'!$AL$60="Mayor"),CONCATENATE("R2C",'Mapa final GC'!$S$60),"")</f>
        <v/>
      </c>
      <c r="AG49" s="39" t="str">
        <f>IF(AND('Mapa final GC'!$AJ$61="Baja",'Mapa final GC'!$AL$61="Mayor"),CONCATENATE("R2C",'Mapa final GC'!$S$61),"")</f>
        <v/>
      </c>
      <c r="AH49" s="40" t="str">
        <f>IF(AND('Mapa final GC'!$AJ$62="Baja",'Mapa final GC'!$AL$62="Mayor"),CONCATENATE("R2C",'Mapa final GC'!$S$62),"")</f>
        <v/>
      </c>
      <c r="AI49" s="41" t="str">
        <f>IF(AND('Mapa final GC'!$AJ$57="Baja",'Mapa final GC'!$AL$57="Catastrófico"),CONCATENATE("R2C",'Mapa final GC'!$S$57),"")</f>
        <v/>
      </c>
      <c r="AJ49" s="42" t="str">
        <f>IF(AND('Mapa final GC'!$AJ$58="Baja",'Mapa final GC'!$AL$58="Catastrófico"),CONCATENATE("R2C",'Mapa final GC'!$S$58),"")</f>
        <v/>
      </c>
      <c r="AK49" s="42" t="str">
        <f>IF(AND('Mapa final GC'!$AJ$59="Baja",'Mapa final GC'!$AL$59="Catastrófico"),CONCATENATE("R2C",'Mapa final GC'!$S$59),"")</f>
        <v/>
      </c>
      <c r="AL49" s="42" t="str">
        <f>IF(AND('Mapa final GC'!$AJ$60="Baja",'Mapa final GC'!$AL$60="Catastrófico"),CONCATENATE("R2C",'Mapa final GC'!$S$60),"")</f>
        <v/>
      </c>
      <c r="AM49" s="42" t="str">
        <f>IF(AND('Mapa final GC'!$AJ$61="Baja",'Mapa final GC'!$AL$61="Catastrófico"),CONCATENATE("R2C",'Mapa final GC'!$S$61),"")</f>
        <v/>
      </c>
      <c r="AN49" s="43" t="str">
        <f>IF(AND('Mapa final GC'!$AJ$62="Baja",'Mapa final GC'!$AL$62="Catastrófico"),CONCATENATE("R2C",'Mapa final GC'!$S$62),"")</f>
        <v/>
      </c>
      <c r="AO49" s="69"/>
      <c r="AP49" s="809"/>
      <c r="AQ49" s="810"/>
      <c r="AR49" s="810"/>
      <c r="AS49" s="810"/>
      <c r="AT49" s="810"/>
      <c r="AU49" s="811"/>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row>
    <row r="50" spans="2:81" ht="15" customHeight="1" x14ac:dyDescent="0.25">
      <c r="B50" s="69"/>
      <c r="C50" s="679"/>
      <c r="D50" s="679"/>
      <c r="E50" s="680"/>
      <c r="F50" s="778"/>
      <c r="G50" s="779"/>
      <c r="H50" s="779"/>
      <c r="I50" s="779"/>
      <c r="J50" s="779"/>
      <c r="K50" s="62" t="str">
        <f>IF(AND('Mapa final GC'!$AJ$63="Baja",'Mapa final GC'!$AL$63="Leve"),CONCATENATE("R2C",'Mapa final GC'!$S$63),"")</f>
        <v/>
      </c>
      <c r="L50" s="63" t="str">
        <f>IF(AND('Mapa final GC'!$AJ$64="Baja",'Mapa final GC'!$AL$64="Leve"),CONCATENATE("R2C",'Mapa final GC'!$S$64),"")</f>
        <v/>
      </c>
      <c r="M50" s="63" t="str">
        <f>IF(AND('Mapa final GC'!$AJ$65="Baja",'Mapa final GC'!$AL$65="Leve"),CONCATENATE("R2C",'Mapa final GC'!$S$65),"")</f>
        <v/>
      </c>
      <c r="N50" s="63" t="str">
        <f>IF(AND('Mapa final GC'!$AJ$66="Baja",'Mapa final GC'!$AL$66="Leve"),CONCATENATE("R2C",'Mapa final GC'!$S$66),"")</f>
        <v/>
      </c>
      <c r="O50" s="63" t="str">
        <f>IF(AND('Mapa final GC'!$AJ$67="Baja",'Mapa final GC'!$AL$67="Leve"),CONCATENATE("R2C",'Mapa final GC'!$S$67),"")</f>
        <v/>
      </c>
      <c r="P50" s="64" t="str">
        <f>IF(AND('Mapa final GC'!$AJ$68="Baja",'Mapa final GC'!$AL$68="Leve"),CONCATENATE("R2C",'Mapa final GC'!$S$68),"")</f>
        <v/>
      </c>
      <c r="Q50" s="53" t="str">
        <f>IF(AND('Mapa final GC'!$AJ$63="Baja",'Mapa final GC'!$AL$63="Menor"),CONCATENATE("R2C",'Mapa final GC'!$S$63),"")</f>
        <v/>
      </c>
      <c r="R50" s="54" t="str">
        <f>IF(AND('Mapa final GC'!$AJ$64="Baja",'Mapa final GC'!$AL$64="Menor"),CONCATENATE("R2C",'Mapa final GC'!$S$64),"")</f>
        <v/>
      </c>
      <c r="S50" s="54" t="str">
        <f>IF(AND('Mapa final GC'!$AJ$65="Baja",'Mapa final GC'!$AL$65="Menor"),CONCATENATE("R2C",'Mapa final GC'!$S$65),"")</f>
        <v/>
      </c>
      <c r="T50" s="54" t="str">
        <f>IF(AND('Mapa final GC'!$AJ$66="Baja",'Mapa final GC'!$AL$66="Menor"),CONCATENATE("R2C",'Mapa final GC'!$S$66),"")</f>
        <v/>
      </c>
      <c r="U50" s="54" t="str">
        <f>IF(AND('Mapa final GC'!$AJ$67="Baja",'Mapa final GC'!$AL$67="Menor"),CONCATENATE("R2C",'Mapa final GC'!$S$67),"")</f>
        <v/>
      </c>
      <c r="V50" s="55" t="str">
        <f>IF(AND('Mapa final GC'!$AJ$68="Baja",'Mapa final GC'!$AL$68="Menor"),CONCATENATE("R2C",'Mapa final GC'!$S$68),"")</f>
        <v/>
      </c>
      <c r="W50" s="53" t="str">
        <f>IF(AND('Mapa final GC'!$AJ$63="Baja",'Mapa final GC'!$AL$63="Moderado"),CONCATENATE("R2C",'Mapa final GC'!$S$63),"")</f>
        <v/>
      </c>
      <c r="X50" s="54" t="str">
        <f>IF(AND('Mapa final GC'!$AJ$64="Baja",'Mapa final GC'!$AL$64="Moderado"),CONCATENATE("R2C",'Mapa final GC'!$S$64),"")</f>
        <v/>
      </c>
      <c r="Y50" s="54" t="str">
        <f>IF(AND('Mapa final GC'!$AJ$65="Baja",'Mapa final GC'!$AL$65="Moderado"),CONCATENATE("R2C",'Mapa final GC'!$S$65),"")</f>
        <v/>
      </c>
      <c r="Z50" s="54" t="str">
        <f>IF(AND('Mapa final GC'!$AJ$66="Baja",'Mapa final GC'!$AL$66="Moderado"),CONCATENATE("R2C",'Mapa final GC'!$S$66),"")</f>
        <v/>
      </c>
      <c r="AA50" s="54" t="str">
        <f>IF(AND('Mapa final GC'!$AJ$67="Baja",'Mapa final GC'!$AL$67="Moderado"),CONCATENATE("R2C",'Mapa final GC'!$S$67),"")</f>
        <v/>
      </c>
      <c r="AB50" s="55" t="str">
        <f>IF(AND('Mapa final GC'!$AJ$68="Baja",'Mapa final GC'!$AL$68="Moderado"),CONCATENATE("R2C",'Mapa final GC'!$S$68),"")</f>
        <v/>
      </c>
      <c r="AC50" s="38" t="str">
        <f>IF(AND('Mapa final GC'!$AJ$63="Baja",'Mapa final GC'!$AL$63="Mayor"),CONCATENATE("R2C",'Mapa final GC'!$S$63),"")</f>
        <v/>
      </c>
      <c r="AD50" s="39" t="str">
        <f>IF(AND('Mapa final GC'!$AJ$64="Baja",'Mapa final GC'!$AL$64="Mayor"),CONCATENATE("R2C",'Mapa final GC'!$S$64),"")</f>
        <v/>
      </c>
      <c r="AE50" s="39" t="str">
        <f>IF(AND('Mapa final GC'!$AJ$65="Baja",'Mapa final GC'!$AL$65="Mayor"),CONCATENATE("R2C",'Mapa final GC'!$S$65),"")</f>
        <v/>
      </c>
      <c r="AF50" s="39" t="str">
        <f>IF(AND('Mapa final GC'!$AJ$66="Baja",'Mapa final GC'!$AL$66="Mayor"),CONCATENATE("R2C",'Mapa final GC'!$S$66),"")</f>
        <v/>
      </c>
      <c r="AG50" s="39" t="str">
        <f>IF(AND('Mapa final GC'!$AJ$67="Baja",'Mapa final GC'!$AL$67="Mayor"),CONCATENATE("R2C",'Mapa final GC'!$S$67),"")</f>
        <v/>
      </c>
      <c r="AH50" s="40" t="str">
        <f>IF(AND('Mapa final GC'!$AJ$68="Baja",'Mapa final GC'!$AL$68="Mayor"),CONCATENATE("R2C",'Mapa final GC'!$S$68),"")</f>
        <v/>
      </c>
      <c r="AI50" s="41" t="str">
        <f>IF(AND('Mapa final GC'!$AJ$63="Baja",'Mapa final GC'!$AL$63="Catastrófico"),CONCATENATE("R2C",'Mapa final GC'!$S$63),"")</f>
        <v/>
      </c>
      <c r="AJ50" s="42" t="str">
        <f>IF(AND('Mapa final GC'!$AJ$64="Baja",'Mapa final GC'!$AL$64="Catastrófico"),CONCATENATE("R2C",'Mapa final GC'!$S$64),"")</f>
        <v/>
      </c>
      <c r="AK50" s="42" t="str">
        <f>IF(AND('Mapa final GC'!$AJ$65="Baja",'Mapa final GC'!$AL$65="Catastrófico"),CONCATENATE("R2C",'Mapa final GC'!$S$65),"")</f>
        <v/>
      </c>
      <c r="AL50" s="42" t="str">
        <f>IF(AND('Mapa final GC'!$AJ$66="Baja",'Mapa final GC'!$AL$66="Catastrófico"),CONCATENATE("R2C",'Mapa final GC'!$S$66),"")</f>
        <v/>
      </c>
      <c r="AM50" s="42" t="str">
        <f>IF(AND('Mapa final GC'!$AJ$67="Baja",'Mapa final GC'!$AL$67="Catastrófico"),CONCATENATE("R2C",'Mapa final GC'!$S$67),"")</f>
        <v/>
      </c>
      <c r="AN50" s="43" t="str">
        <f>IF(AND('Mapa final GC'!$AJ$68="Baja",'Mapa final GC'!$AL$68="Catastrófico"),CONCATENATE("R2C",'Mapa final GC'!$S$68),"")</f>
        <v/>
      </c>
      <c r="AO50" s="69"/>
      <c r="AP50" s="809"/>
      <c r="AQ50" s="810"/>
      <c r="AR50" s="810"/>
      <c r="AS50" s="810"/>
      <c r="AT50" s="810"/>
      <c r="AU50" s="811"/>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row>
    <row r="51" spans="2:81" ht="15.75" customHeight="1" thickBot="1" x14ac:dyDescent="0.3">
      <c r="B51" s="69"/>
      <c r="C51" s="679"/>
      <c r="D51" s="679"/>
      <c r="E51" s="680"/>
      <c r="F51" s="781"/>
      <c r="G51" s="782"/>
      <c r="H51" s="782"/>
      <c r="I51" s="782"/>
      <c r="J51" s="782"/>
      <c r="K51" s="65" t="str">
        <f>IF(AND('Mapa final GC'!$AJ$69="Baja",'Mapa final GC'!$AL$69="Leve"),CONCATENATE("R2C",'Mapa final GC'!$S$69),"")</f>
        <v/>
      </c>
      <c r="L51" s="66" t="str">
        <f>IF(AND('Mapa final GC'!$AJ$70="Baja",'Mapa final GC'!$AL$70="Leve"),CONCATENATE("R2C",'Mapa final GC'!$S$70),"")</f>
        <v/>
      </c>
      <c r="M51" s="66" t="str">
        <f>IF(AND('Mapa final GC'!$AJ$71="Baja",'Mapa final GC'!$AL$71="Leve"),CONCATENATE("R2C",'Mapa final GC'!$S$71),"")</f>
        <v/>
      </c>
      <c r="N51" s="66" t="str">
        <f>IF(AND('Mapa final GC'!$AJ$72="Baja",'Mapa final GC'!$AL$72="Leve"),CONCATENATE("R2C",'Mapa final GC'!$S$72),"")</f>
        <v/>
      </c>
      <c r="O51" s="66" t="str">
        <f>IF(AND('Mapa final GC'!$AJ$74="Baja",'Mapa final GC'!$AL$74="Leve"),CONCATENATE("R2C",'Mapa final GC'!$S$74),"")</f>
        <v/>
      </c>
      <c r="P51" s="67" t="str">
        <f>IF(AND('Mapa final GC'!$AJ$75="Baja",'Mapa final GC'!$AL$75="Leve"),CONCATENATE("R2C",'Mapa final GC'!$S$75),"")</f>
        <v/>
      </c>
      <c r="Q51" s="53" t="str">
        <f>IF(AND('Mapa final GC'!$AJ$69="Baja",'Mapa final GC'!$AL$69="Menor"),CONCATENATE("R2C",'Mapa final GC'!$S$69),"")</f>
        <v/>
      </c>
      <c r="R51" s="54" t="str">
        <f>IF(AND('Mapa final GC'!$AJ$70="Baja",'Mapa final GC'!$AL$70="Menor"),CONCATENATE("R2C",'Mapa final GC'!$S$70),"")</f>
        <v/>
      </c>
      <c r="S51" s="54" t="str">
        <f>IF(AND('Mapa final GC'!$AJ$71="Baja",'Mapa final GC'!$AL$71="Menor"),CONCATENATE("R2C",'Mapa final GC'!$S$71),"")</f>
        <v/>
      </c>
      <c r="T51" s="54" t="str">
        <f>IF(AND('Mapa final GC'!$AJ$72="Baja",'Mapa final GC'!$AL$72="Menor"),CONCATENATE("R2C",'Mapa final GC'!$S$72),"")</f>
        <v/>
      </c>
      <c r="U51" s="54" t="str">
        <f>IF(AND('Mapa final GC'!$AJ$74="Baja",'Mapa final GC'!$AL$74="Menor"),CONCATENATE("R2C",'Mapa final GC'!$S$74),"")</f>
        <v/>
      </c>
      <c r="V51" s="55" t="str">
        <f>IF(AND('Mapa final GC'!$AJ$75="Baja",'Mapa final GC'!$AL$75="Menor"),CONCATENATE("R2C",'Mapa final GC'!$S$75),"")</f>
        <v/>
      </c>
      <c r="W51" s="56" t="str">
        <f>IF(AND('Mapa final GC'!$AJ$69="Baja",'Mapa final GC'!$AL$69="Moderado"),CONCATENATE("R2C",'Mapa final GC'!$S$69),"")</f>
        <v/>
      </c>
      <c r="X51" s="57" t="str">
        <f>IF(AND('Mapa final GC'!$AJ$70="Baja",'Mapa final GC'!$AL$70="Moderado"),CONCATENATE("R2C",'Mapa final GC'!$S$70),"")</f>
        <v/>
      </c>
      <c r="Y51" s="57" t="str">
        <f>IF(AND('Mapa final GC'!$AJ$71="Baja",'Mapa final GC'!$AL$71="Moderado"),CONCATENATE("R2C",'Mapa final GC'!$S$71),"")</f>
        <v/>
      </c>
      <c r="Z51" s="57" t="str">
        <f>IF(AND('Mapa final GC'!$AJ$72="Baja",'Mapa final GC'!$AL$72="Moderado"),CONCATENATE("R2C",'Mapa final GC'!$S$72),"")</f>
        <v/>
      </c>
      <c r="AA51" s="57" t="str">
        <f>IF(AND('Mapa final GC'!$AJ$74="Baja",'Mapa final GC'!$AL$74="Moderado"),CONCATENATE("R2C",'Mapa final GC'!$S$74),"")</f>
        <v/>
      </c>
      <c r="AB51" s="58" t="str">
        <f>IF(AND('Mapa final GC'!$AJ$75="Baja",'Mapa final GC'!$AL$75="Moderado"),CONCATENATE("R2C",'Mapa final GC'!$S$75),"")</f>
        <v/>
      </c>
      <c r="AC51" s="44" t="str">
        <f>IF(AND('Mapa final GC'!$AJ$69="Baja",'Mapa final GC'!$AL$69="Mayor"),CONCATENATE("R2C",'Mapa final GC'!$S$69),"")</f>
        <v/>
      </c>
      <c r="AD51" s="45" t="str">
        <f>IF(AND('Mapa final GC'!$AJ$70="Baja",'Mapa final GC'!$AL$70="Mayor"),CONCATENATE("R2C",'Mapa final GC'!$S$70),"")</f>
        <v/>
      </c>
      <c r="AE51" s="45" t="str">
        <f>IF(AND('Mapa final GC'!$AJ$71="Baja",'Mapa final GC'!$AL$71="Mayor"),CONCATENATE("R2C",'Mapa final GC'!$S$71),"")</f>
        <v/>
      </c>
      <c r="AF51" s="45" t="str">
        <f>IF(AND('Mapa final GC'!$AJ$72="Baja",'Mapa final GC'!$AL$72="Mayor"),CONCATENATE("R2C",'Mapa final GC'!$S$72),"")</f>
        <v/>
      </c>
      <c r="AG51" s="45" t="str">
        <f>IF(AND('Mapa final GC'!$AJ$74="Baja",'Mapa final GC'!$AL$74="Mayor"),CONCATENATE("R2C",'Mapa final GC'!$S$74),"")</f>
        <v/>
      </c>
      <c r="AH51" s="46" t="str">
        <f>IF(AND('Mapa final GC'!$AJ$75="Baja",'Mapa final GC'!$AL$75="Mayor"),CONCATENATE("R2C",'Mapa final GC'!$S$75),"")</f>
        <v/>
      </c>
      <c r="AI51" s="47" t="str">
        <f>IF(AND('Mapa final GC'!$AJ$69="Baja",'Mapa final GC'!$AL$69="Catastrófico"),CONCATENATE("R2C",'Mapa final GC'!$S$69),"")</f>
        <v/>
      </c>
      <c r="AJ51" s="48" t="str">
        <f>IF(AND('Mapa final GC'!$AJ$70="Baja",'Mapa final GC'!$AL$70="Catastrófico"),CONCATENATE("R2C",'Mapa final GC'!$S$70),"")</f>
        <v/>
      </c>
      <c r="AK51" s="48" t="str">
        <f>IF(AND('Mapa final GC'!$AJ$71="Baja",'Mapa final GC'!$AL$71="Catastrófico"),CONCATENATE("R2C",'Mapa final GC'!$S$71),"")</f>
        <v/>
      </c>
      <c r="AL51" s="48" t="str">
        <f>IF(AND('Mapa final GC'!$AJ$72="Baja",'Mapa final GC'!$AL$72="Catastrófico"),CONCATENATE("R2C",'Mapa final GC'!$S$72),"")</f>
        <v/>
      </c>
      <c r="AM51" s="48" t="str">
        <f>IF(AND('Mapa final GC'!$AJ$74="Baja",'Mapa final GC'!$AL$74="Catastrófico"),CONCATENATE("R2C",'Mapa final GC'!$S$74),"")</f>
        <v/>
      </c>
      <c r="AN51" s="49" t="str">
        <f>IF(AND('Mapa final GC'!$AJ$75="Baja",'Mapa final GC'!$AL$75="Catastrófico"),CONCATENATE("R2C",'Mapa final GC'!$S$75),"")</f>
        <v/>
      </c>
      <c r="AO51" s="69"/>
      <c r="AP51" s="812"/>
      <c r="AQ51" s="813"/>
      <c r="AR51" s="813"/>
      <c r="AS51" s="813"/>
      <c r="AT51" s="813"/>
      <c r="AU51" s="814"/>
    </row>
    <row r="52" spans="2:81" ht="41.25" customHeight="1" x14ac:dyDescent="0.35">
      <c r="B52" s="69"/>
      <c r="C52" s="679"/>
      <c r="D52" s="679"/>
      <c r="E52" s="680"/>
      <c r="F52" s="775" t="s">
        <v>111</v>
      </c>
      <c r="G52" s="776"/>
      <c r="H52" s="776"/>
      <c r="I52" s="776"/>
      <c r="J52" s="777"/>
      <c r="K52" s="59" t="str">
        <f>IF(AND('Mapa final AU'!$AJ$15="Muy Baja",'Mapa final AU'!$AL$15="Leve"),CONCATENATE("R1C",'Mapa final AU'!$D$15),"")</f>
        <v>R1C1AU</v>
      </c>
      <c r="L52" s="60" t="str">
        <f>IF(AND('Mapa final AU'!$AJ$18="Muy Baja",'Mapa final AU'!$AL$18="Leve"),CONCATENATE("R4C",'Mapa final AU'!$D$18),"")</f>
        <v>R4C4AU</v>
      </c>
      <c r="M52" s="60" t="str">
        <f>IF(AND('Mapa final GC'!$AJ$17="Muy Baja",'Mapa final GC'!$AL$17="Leve"),CONCATENATE("R2C",'Mapa final GC'!$S$17),"")</f>
        <v/>
      </c>
      <c r="N52" s="60" t="str">
        <f>IF(AND('Mapa final GC'!$AJ$19="Muy Baja",'Mapa final GC'!$AL$19="Leve"),CONCATENATE("R2C",'Mapa final GC'!$S$19),"")</f>
        <v/>
      </c>
      <c r="O52" s="60" t="str">
        <f>IF(AND('Mapa final GC'!$AJ$20="Muy Baja",'Mapa final GC'!$AL$20="Leve"),CONCATENATE("R2C",'Mapa final GC'!$S$20),"")</f>
        <v/>
      </c>
      <c r="P52" s="61" t="e">
        <f>IF(AND('Mapa final GC'!#REF!="Muy Baja",'Mapa final GC'!#REF!="Leve"),CONCATENATE("R2C",'Mapa final GC'!#REF!),"")</f>
        <v>#REF!</v>
      </c>
      <c r="Q52" s="59" t="str">
        <f>IF(AND('Mapa final GC'!$AJ$15="Muy Baja",'Mapa final GC'!$AL$15="Menor"),CONCATENATE("R2C",'Mapa final GC'!$S$15),"")</f>
        <v/>
      </c>
      <c r="R52" s="60" t="str">
        <f>IF(AND('Mapa final GC'!$AJ$16="Muy Baja",'Mapa final GC'!$AL$16="Menore"),CONCATENATE("R2C",'Mapa final GC'!$S$16),"")</f>
        <v/>
      </c>
      <c r="S52" s="60" t="str">
        <f>IF(AND('Mapa final GC'!$AJ$17="Muy Baja",'Mapa final GC'!$AL$17="Menor"),CONCATENATE("R2C",'Mapa final GC'!$S$17),"")</f>
        <v/>
      </c>
      <c r="T52" s="60" t="str">
        <f>IF(AND('Mapa final GC'!$AJ$19="Muy Baja",'Mapa final GC'!$AL$19="Menor"),CONCATENATE("R2C",'Mapa final GC'!$S$19),"")</f>
        <v/>
      </c>
      <c r="U52" s="60" t="str">
        <f>IF(AND('Mapa final GC'!$AJ$20="Muy Baja",'Mapa final GC'!$AL$20="Menor"),CONCATENATE("R2C",'Mapa final GC'!$S$20),"")</f>
        <v/>
      </c>
      <c r="V52" s="61" t="e">
        <f>IF(AND('Mapa final GC'!#REF!="Muy Baja",'Mapa final GC'!#REF!="Menor"),CONCATENATE("R2C",'Mapa final GC'!#REF!),"")</f>
        <v>#REF!</v>
      </c>
      <c r="W52" s="50" t="str">
        <f>IF(AND('Mapa final GC'!$AJ$15="Muy Baja",'Mapa final GC'!$AL$15="Moderado"),CONCATENATE("R2C",'Mapa final GC'!$S$15),"")</f>
        <v/>
      </c>
      <c r="X52" s="68" t="str">
        <f>IF(AND('Mapa final GC'!$AJ$16="Muy Baja",'Mapa final GC'!$AL$16="Moderado"),CONCATENATE("R2C",'Mapa final GC'!$S$16),"")</f>
        <v/>
      </c>
      <c r="Y52" s="51"/>
      <c r="Z52" s="51" t="str">
        <f>IF(AND('Mapa final GC'!$AJ$19="Muy Baja",'Mapa final GC'!$AL$19="Moderado"),CONCATENATE("R2C",'Mapa final GC'!$S$19),"")</f>
        <v/>
      </c>
      <c r="AA52" s="51" t="str">
        <f>IF(AND('Mapa final GC'!$AJ$20="Muy Baja",'Mapa final GC'!$AL$20="Moderado"),CONCATENATE("R2C",'Mapa final GC'!$S$20),"")</f>
        <v/>
      </c>
      <c r="AB52" s="52" t="e">
        <f>IF(AND('Mapa final GC'!#REF!="Muy Baja",'Mapa final GC'!#REF!="Moderado"),CONCATENATE("R2C",'Mapa final GC'!#REF!),"")</f>
        <v>#REF!</v>
      </c>
      <c r="AC52" s="32" t="str">
        <f>IF(AND('Mapa final GC'!$AJ$15="Muy Baja",'Mapa final GC'!$AL$15="Mayor"),CONCATENATE("R2C",'Mapa final GC'!$S$15),"")</f>
        <v/>
      </c>
      <c r="AD52" s="33" t="str">
        <f>IF(AND('Mapa final GC'!$AJ$16="Muy Baja",'Mapa final GC'!$AL$16="Mayor"),CONCATENATE("R2C",'Mapa final GC'!$S$16),"")</f>
        <v/>
      </c>
      <c r="AE52" s="33" t="str">
        <f>IF(AND('Mapa final GC'!$AJ$17="Muy Baja",'Mapa final GC'!$AL$17="Mayor"),CONCATENATE("R2C",'Mapa final GC'!$S$17),"")</f>
        <v/>
      </c>
      <c r="AF52" s="33" t="str">
        <f>IF(AND('Mapa final GC'!$AJ$19="Muy Baja",'Mapa final GC'!$AL$19="Mayor"),CONCATENATE("R2C",'Mapa final GC'!$S$19),"")</f>
        <v/>
      </c>
      <c r="AG52" s="33" t="str">
        <f>IF(AND('Mapa final GC'!$AJ$20="Muy Baja",'Mapa final GC'!$AL$20="Mayor"),CONCATENATE("R2C",'Mapa final GC'!$S$20),"")</f>
        <v/>
      </c>
      <c r="AH52" s="34" t="e">
        <f>IF(AND('Mapa final GC'!#REF!="Muy Baja",'Mapa final GC'!#REF!="Mayor"),CONCATENATE("R2C",'Mapa final GC'!#REF!),"")</f>
        <v>#REF!</v>
      </c>
      <c r="AI52" s="35" t="str">
        <f>IF(AND('Mapa final GC'!$AJ$15="Muy Baja",'Mapa final GC'!$AL$15="Catastrófico"),CONCATENATE("R2C",'Mapa final GC'!$S$15),"")</f>
        <v/>
      </c>
      <c r="AJ52" s="36" t="str">
        <f>IF(AND('Mapa final GC'!$AJ$16="Muy Baja",'Mapa final GC'!$AL$16="Catastrófico"),CONCATENATE("R2C",'Mapa final GC'!$S$16),"")</f>
        <v/>
      </c>
      <c r="AK52" s="36" t="str">
        <f>IF(AND('Mapa final GC'!$AJ$17="Muy Baja",'Mapa final GC'!$AL$17="Catastrófico"),CONCATENATE("R2C",'Mapa final GC'!$S$17),"")</f>
        <v/>
      </c>
      <c r="AL52" s="36" t="str">
        <f>IF(AND('Mapa final GC'!$AJ$19="Muy Baja",'Mapa final GC'!$AL$19="Catastrófico"),CONCATENATE("R2C",'Mapa final GC'!$S$19),"")</f>
        <v/>
      </c>
      <c r="AM52" s="36" t="str">
        <f>IF(AND('Mapa final GC'!$AJ$20="Muy Baja",'Mapa final GC'!$AL$20="Catastrófico"),CONCATENATE("R2C",'Mapa final GC'!$S$20),"")</f>
        <v/>
      </c>
      <c r="AN52" s="37" t="e">
        <f>IF(AND('Mapa final GC'!#REF!="Muy Baja",'Mapa final GC'!#REF!="Catastrófico"),CONCATENATE("R2C",'Mapa final GC'!#REF!),"")</f>
        <v>#REF!</v>
      </c>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2:81" ht="30.6" customHeight="1" x14ac:dyDescent="0.25">
      <c r="B53" s="69"/>
      <c r="C53" s="679"/>
      <c r="D53" s="679"/>
      <c r="E53" s="680"/>
      <c r="F53" s="793"/>
      <c r="G53" s="779"/>
      <c r="H53" s="779"/>
      <c r="I53" s="779"/>
      <c r="J53" s="780"/>
      <c r="K53" s="62" t="str">
        <f>IF(AND('Mapa final AU'!$AJ$17="Muy Baja",'Mapa final AU'!$AL$17="Leve"),CONCATENATE("R3C",'Mapa final AU'!$D$17),"")</f>
        <v>R3C3AU</v>
      </c>
      <c r="L53" s="63" t="str">
        <f>IF(AND('Mapa final GC'!$AJ$22="Muy Baja",'Mapa final GC'!$AL$22="Leve"),CONCATENATE("R2C",'Mapa final GC'!$S$22),"")</f>
        <v/>
      </c>
      <c r="M53" s="63" t="str">
        <f>IF(AND('Mapa final GC'!$AJ$23="Muy Baja",'Mapa final GC'!$AL$23="Leve"),CONCATENATE("R2C",'Mapa final GC'!$S$23),"")</f>
        <v/>
      </c>
      <c r="N53" s="63" t="str">
        <f>IF(AND('Mapa final GC'!$AJ$24="Muy Baja",'Mapa final GC'!$AL$24="Leve"),CONCATENATE("R2C",'Mapa final GC'!$S$24),"")</f>
        <v/>
      </c>
      <c r="O53" s="63" t="str">
        <f>IF(AND('Mapa final GC'!$AJ$25="Muy Baja",'Mapa final GC'!$AL$25="Leve"),CONCATENATE("R2C",'Mapa final GC'!$S$25),"")</f>
        <v/>
      </c>
      <c r="P53" s="64" t="str">
        <f>IF(AND('Mapa final GC'!$AJ$26="Muy Baja",'Mapa final GC'!$AL$26="Leve"),CONCATENATE("R2C",'Mapa final GC'!$S$26),"")</f>
        <v/>
      </c>
      <c r="Q53" s="62" t="str">
        <f>IF(AND('Mapa final GC'!$AJ$21="Muy Baja",'Mapa final GC'!$AL$21="Menor"),CONCATENATE("R2C",'Mapa final GC'!$S$21),"")</f>
        <v/>
      </c>
      <c r="R53" s="63" t="str">
        <f>IF(AND('Mapa final GC'!$AJ$22="Muy Baja",'Mapa final GC'!$AL$22="Menor"),CONCATENATE("R2C",'Mapa final GC'!$S$22),"")</f>
        <v/>
      </c>
      <c r="S53" s="63" t="str">
        <f>IF(AND('Mapa final GC'!$AJ$23="Muy Baja",'Mapa final GC'!$AL$23="Menor"),CONCATENATE("R2C",'Mapa final GC'!$S$23),"")</f>
        <v/>
      </c>
      <c r="T53" s="63" t="str">
        <f>IF(AND('Mapa final GC'!$AJ$24="Muy Baja",'Mapa final GC'!$AL$24="Menor"),CONCATENATE("R2C",'Mapa final GC'!$S$24),"")</f>
        <v/>
      </c>
      <c r="U53" s="63" t="str">
        <f>IF(AND('Mapa final GC'!$AJ$25="Muy Baja",'Mapa final GC'!$AL$25="Menor"),CONCATENATE("R2C",'Mapa final GC'!$S$25),"")</f>
        <v/>
      </c>
      <c r="V53" s="64" t="str">
        <f>IF(AND('Mapa final GC'!$AJ$26="Muy Baja",'Mapa final GC'!$AL$26="Menor"),CONCATENATE("R2C",'Mapa final GC'!$S$26),"")</f>
        <v/>
      </c>
      <c r="W53" s="53" t="str">
        <f>IF(AND('Mapa final GC'!$AJ$21="Muy Baja",'Mapa final GC'!$AL$21="Moderado"),CONCATENATE("R2C",'Mapa final GC'!$S$21),"")</f>
        <v/>
      </c>
      <c r="X53" s="54" t="str">
        <f>IF(AND('Mapa final GC'!$AJ$22="Muy Baja",'Mapa final GC'!$AL$22="Moderado"),CONCATENATE("R2C",'Mapa final GC'!$S$22),"")</f>
        <v/>
      </c>
      <c r="Y53" s="54" t="str">
        <f>IF(AND('Mapa final GC'!$AJ$23="Muy Baja",'Mapa final GC'!$AL$23="Moderado"),CONCATENATE("R2C",'Mapa final GC'!$S$23),"")</f>
        <v/>
      </c>
      <c r="Z53" s="54" t="str">
        <f>IF(AND('Mapa final GC'!$AJ$24="Muy Baja",'Mapa final GC'!$AL$24="Moderado"),CONCATENATE("R2C",'Mapa final GC'!$S$24),"")</f>
        <v/>
      </c>
      <c r="AA53" s="54" t="str">
        <f>IF(AND('Mapa final GC'!$AJ$25="Muy Baja",'Mapa final GC'!$AL$25="Moderado"),CONCATENATE("R2C",'Mapa final GC'!$S$25),"")</f>
        <v/>
      </c>
      <c r="AB53" s="55" t="str">
        <f>IF(AND('Mapa final GC'!$AJ$26="Muy Baja",'Mapa final GC'!$AL$26="Moderado"),CONCATENATE("R2C",'Mapa final GC'!$S$26),"")</f>
        <v/>
      </c>
      <c r="AC53" s="38" t="str">
        <f>IF(AND('Mapa final GC'!$AJ$21="Muy Baja",'Mapa final GC'!$AL$21="Mayor"),CONCATENATE("R2C",'Mapa final GC'!$S$21),"")</f>
        <v/>
      </c>
      <c r="AD53" s="39" t="str">
        <f>IF(AND('Mapa final GC'!$AJ$22="Muy Baja",'Mapa final GC'!$AL$22="Mayor"),CONCATENATE("R2C",'Mapa final GC'!$S$22),"")</f>
        <v/>
      </c>
      <c r="AE53" s="39" t="str">
        <f>IF(AND('Mapa final GC'!$AJ$23="Muy Baja",'Mapa final GC'!$AL$23="Mayor"),CONCATENATE("R2C",'Mapa final GC'!$S$23),"")</f>
        <v/>
      </c>
      <c r="AF53" s="39" t="str">
        <f>IF(AND('Mapa final GC'!$AJ$24="Muy Baja",'Mapa final GC'!$AL$24="Mayor"),CONCATENATE("R2C",'Mapa final GC'!$S$24),"")</f>
        <v/>
      </c>
      <c r="AG53" s="39" t="str">
        <f>IF(AND('Mapa final GC'!$AJ$25="Muy Baja",'Mapa final GC'!$AL$25="Mayor"),CONCATENATE("R2C",'Mapa final GC'!$S$25),"")</f>
        <v/>
      </c>
      <c r="AH53" s="40" t="str">
        <f>IF(AND('Mapa final GC'!$AJ$26="Muy Baja",'Mapa final GC'!$AL$26="Mayor"),CONCATENATE("R2C",'Mapa final GC'!$S$26),"")</f>
        <v/>
      </c>
      <c r="AI53" s="41" t="str">
        <f>IF(AND('Mapa final GC'!$AJ$21="Muy Baja",'Mapa final GC'!$AL$21="Catastrófico"),CONCATENATE("R2C",'Mapa final GC'!$S$21),"")</f>
        <v/>
      </c>
      <c r="AJ53" s="42" t="str">
        <f>IF(AND('Mapa final GC'!$AJ$22="Muy Baja",'Mapa final GC'!$AL$22="Catastrófico"),CONCATENATE("R2C",'Mapa final GC'!$S$22),"")</f>
        <v/>
      </c>
      <c r="AK53" s="42" t="str">
        <f>IF(AND('Mapa final GC'!$AJ$23="Muy Baja",'Mapa final GC'!$AL$23="Catastrófico"),CONCATENATE("R2C",'Mapa final GC'!$S$23),"")</f>
        <v/>
      </c>
      <c r="AL53" s="42" t="str">
        <f>IF(AND('Mapa final GC'!$AJ$24="Muy Baja",'Mapa final GC'!$AL$24="Catastrófico"),CONCATENATE("R2C",'Mapa final GC'!$S$24),"")</f>
        <v/>
      </c>
      <c r="AM53" s="42" t="str">
        <f>IF(AND('Mapa final GC'!$AJ$25="Muy Baja",'Mapa final GC'!$AL$25="Catastrófico"),CONCATENATE("R2C",'Mapa final GC'!$S$25),"")</f>
        <v/>
      </c>
      <c r="AN53" s="43" t="str">
        <f>IF(AND('Mapa final GC'!$AJ$26="Muy Baja",'Mapa final GC'!$AL$26="Catastrófico"),CONCATENATE("R2C",'Mapa final GC'!$S$26),"")</f>
        <v/>
      </c>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2:81" ht="15" customHeight="1" x14ac:dyDescent="0.25">
      <c r="B54" s="69"/>
      <c r="C54" s="679"/>
      <c r="D54" s="679"/>
      <c r="E54" s="680"/>
      <c r="F54" s="793"/>
      <c r="G54" s="779"/>
      <c r="H54" s="779"/>
      <c r="I54" s="779"/>
      <c r="J54" s="780"/>
      <c r="K54" s="62" t="str">
        <f>IF(AND('Mapa final GC'!$AJ$27="Muy Baja",'Mapa final GC'!$AL$27="Leve"),CONCATENATE("R2C",'Mapa final GC'!$S$27),"")</f>
        <v/>
      </c>
      <c r="L54" s="63" t="str">
        <f>IF(AND('Mapa final GC'!$AJ$28="Muy Baja",'Mapa final GC'!$AL$28="Leve"),CONCATENATE("R2C",'Mapa final GC'!$S$28),"")</f>
        <v/>
      </c>
      <c r="M54" s="63" t="str">
        <f>IF(AND('Mapa final GC'!$AJ$29="Muy Baja",'Mapa final GC'!$AL$29="Leve"),CONCATENATE("R2C",'Mapa final GC'!$S$29),"")</f>
        <v/>
      </c>
      <c r="N54" s="63" t="str">
        <f>IF(AND('Mapa final GC'!$AJ$30="Muy Baja",'Mapa final GC'!$AL$30="Leve"),CONCATENATE("R2C",'Mapa final GC'!$S$30),"")</f>
        <v/>
      </c>
      <c r="O54" s="63" t="str">
        <f>IF(AND('Mapa final GC'!$AJ$31="Muy Baja",'Mapa final GC'!$AL$31="Leve"),CONCATENATE("R2C",'Mapa final GC'!$S$31),"")</f>
        <v/>
      </c>
      <c r="P54" s="64" t="str">
        <f>IF(AND('Mapa final GC'!$AJ$32="Muy Baja",'Mapa final GC'!$AL$32="Leve"),CONCATENATE("R2C",'Mapa final GC'!$S$32),"")</f>
        <v/>
      </c>
      <c r="Q54" s="62" t="str">
        <f>IF(AND('Mapa final GC'!$AJ$27="Muy Baja",'Mapa final GC'!$AL$27="Menor"),CONCATENATE("R2C",'Mapa final GC'!$S$27),"")</f>
        <v/>
      </c>
      <c r="R54" s="63" t="str">
        <f>IF(AND('Mapa final GC'!$AJ$28="Muy Baja",'Mapa final GC'!$AL$28="Menor"),CONCATENATE("R2C",'Mapa final GC'!$S$28),"")</f>
        <v/>
      </c>
      <c r="S54" s="63" t="str">
        <f>IF(AND('Mapa final GC'!$AJ$29="Muy Baja",'Mapa final GC'!$AL$29="Menor"),CONCATENATE("R2C",'Mapa final GC'!$S$29),"")</f>
        <v/>
      </c>
      <c r="T54" s="63" t="str">
        <f>IF(AND('Mapa final GC'!$AJ$30="Muy Baja",'Mapa final GC'!$AL$30="Menor"),CONCATENATE("R2C",'Mapa final GC'!$S$30),"")</f>
        <v/>
      </c>
      <c r="U54" s="63" t="str">
        <f>IF(AND('Mapa final GC'!$AJ$31="Muy Baja",'Mapa final GC'!$AL$31="Menor"),CONCATENATE("R2C",'Mapa final GC'!$S$31),"")</f>
        <v/>
      </c>
      <c r="V54" s="64" t="str">
        <f>IF(AND('Mapa final GC'!$AJ$32="Muy Baja",'Mapa final GC'!$AL$32="Menor"),CONCATENATE("R2C",'Mapa final GC'!$S$32),"")</f>
        <v/>
      </c>
      <c r="W54" s="53" t="str">
        <f>IF(AND('Mapa final GC'!$AJ$27="Muy Baja",'Mapa final GC'!$AL$27="Moderado"),CONCATENATE("R2C",'Mapa final GC'!$S$27),"")</f>
        <v/>
      </c>
      <c r="X54" s="54" t="str">
        <f>IF(AND('Mapa final GC'!$AJ$28="Muy Baja",'Mapa final GC'!$AL$28="Moderado"),CONCATENATE("R2C",'Mapa final GC'!$S$28),"")</f>
        <v/>
      </c>
      <c r="Y54" s="54" t="str">
        <f>IF(AND('Mapa final GC'!$AJ$29="Muy Baja",'Mapa final GC'!$AL$29="Moderado"),CONCATENATE("R2C",'Mapa final GC'!$S$29),"")</f>
        <v/>
      </c>
      <c r="Z54" s="54" t="str">
        <f>IF(AND('Mapa final GC'!$AJ$30="Muy Baja",'Mapa final GC'!$AL$30="Moderado"),CONCATENATE("R2C",'Mapa final GC'!$S$30),"")</f>
        <v/>
      </c>
      <c r="AA54" s="54" t="str">
        <f>IF(AND('Mapa final GC'!$AJ$31="Muy Baja",'Mapa final GC'!$AL$31="Moderado"),CONCATENATE("R2C",'Mapa final GC'!$S$31),"")</f>
        <v/>
      </c>
      <c r="AB54" s="55" t="str">
        <f>IF(AND('Mapa final GC'!$AJ$32="Muy Baja",'Mapa final GC'!$AL$32="Moderado"),CONCATENATE("R2C",'Mapa final GC'!$S$32),"")</f>
        <v/>
      </c>
      <c r="AC54" s="38" t="str">
        <f>IF(AND('Mapa final GC'!$AJ$27="Muy Baja",'Mapa final GC'!$AL$27="Mayor"),CONCATENATE("R2C",'Mapa final GC'!$S$27),"")</f>
        <v/>
      </c>
      <c r="AD54" s="39" t="str">
        <f>IF(AND('Mapa final GC'!$AJ$28="Muy Baja",'Mapa final GC'!$AL$28="Mayor"),CONCATENATE("R2C",'Mapa final GC'!$S$28),"")</f>
        <v/>
      </c>
      <c r="AE54" s="39" t="str">
        <f>IF(AND('Mapa final GC'!$AJ$29="Muy Baja",'Mapa final GC'!$AL$29="Mayor"),CONCATENATE("R2C",'Mapa final GC'!$S$29),"")</f>
        <v/>
      </c>
      <c r="AF54" s="39" t="str">
        <f>IF(AND('Mapa final GC'!$AJ$30="Muy Baja",'Mapa final GC'!$AL$30="Mayor"),CONCATENATE("R2C",'Mapa final GC'!$S$30),"")</f>
        <v/>
      </c>
      <c r="AG54" s="39" t="str">
        <f>IF(AND('Mapa final GC'!$AJ$31="Muy Baja",'Mapa final GC'!$AL$31="Mayor"),CONCATENATE("R2C",'Mapa final GC'!$S$31),"")</f>
        <v/>
      </c>
      <c r="AH54" s="40" t="str">
        <f>IF(AND('Mapa final GC'!$AJ$32="Muy Baja",'Mapa final GC'!$AL$32="Mayor"),CONCATENATE("R2C",'Mapa final GC'!$S$32),"")</f>
        <v/>
      </c>
      <c r="AI54" s="41" t="str">
        <f>IF(AND('Mapa final GC'!$AJ$27="Muy Baja",'Mapa final GC'!$AL$27="Catastrófico"),CONCATENATE("R2C",'Mapa final GC'!$S$27),"")</f>
        <v/>
      </c>
      <c r="AJ54" s="42" t="str">
        <f>IF(AND('Mapa final GC'!$AJ$28="Muy Baja",'Mapa final GC'!$AL$28="Catastrófico"),CONCATENATE("R2C",'Mapa final GC'!$S$28),"")</f>
        <v/>
      </c>
      <c r="AK54" s="42" t="str">
        <f>IF(AND('Mapa final GC'!$AJ$29="Muy Baja",'Mapa final GC'!$AL$29="Catastrófico"),CONCATENATE("R2C",'Mapa final GC'!$S$29),"")</f>
        <v/>
      </c>
      <c r="AL54" s="42" t="str">
        <f>IF(AND('Mapa final GC'!$AJ$30="Muy Baja",'Mapa final GC'!$AL$30="Catastrófico"),CONCATENATE("R2C",'Mapa final GC'!$S$30),"")</f>
        <v/>
      </c>
      <c r="AM54" s="42" t="str">
        <f>IF(AND('Mapa final GC'!$AJ$31="Muy Baja",'Mapa final GC'!$AL$31="Catastrófico"),CONCATENATE("R2C",'Mapa final GC'!$S$31),"")</f>
        <v/>
      </c>
      <c r="AN54" s="43" t="str">
        <f>IF(AND('Mapa final GC'!$AJ$32="Muy Baja",'Mapa final GC'!$AL$32="Catastrófico"),CONCATENATE("R2C",'Mapa final GC'!$S$32),"")</f>
        <v/>
      </c>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2:81" ht="15" customHeight="1" x14ac:dyDescent="0.25">
      <c r="B55" s="69"/>
      <c r="C55" s="679"/>
      <c r="D55" s="679"/>
      <c r="E55" s="680"/>
      <c r="F55" s="778"/>
      <c r="G55" s="779"/>
      <c r="H55" s="779"/>
      <c r="I55" s="779"/>
      <c r="J55" s="780"/>
      <c r="K55" s="62" t="str">
        <f>IF(AND('Mapa final GC'!$AJ$33="Muy Baja",'Mapa final GC'!$AL$33="Leve"),CONCATENATE("R2C",'Mapa final GC'!$S$33),"")</f>
        <v/>
      </c>
      <c r="L55" s="63" t="str">
        <f>IF(AND('Mapa final GC'!$AJ$34="Muy Baja",'Mapa final GC'!$AL$34="Leve"),CONCATENATE("R2C",'Mapa final GC'!$S$34),"")</f>
        <v/>
      </c>
      <c r="M55" s="63" t="str">
        <f>IF(AND('Mapa final GC'!$AJ$35="Muy Baja",'Mapa final GC'!$AL$35="Leve"),CONCATENATE("R2C",'Mapa final GC'!$S$35),"")</f>
        <v/>
      </c>
      <c r="N55" s="63" t="str">
        <f>IF(AND('Mapa final GC'!$AJ$36="Muy Baja",'Mapa final GC'!$AL$36="Leve"),CONCATENATE("R2C",'Mapa final GC'!$S$36),"")</f>
        <v/>
      </c>
      <c r="O55" s="63" t="str">
        <f>IF(AND('Mapa final GC'!$AJ$37="Muy Baja",'Mapa final GC'!$AL$37="Leve"),CONCATENATE("R2C",'Mapa final GC'!$S$37),"")</f>
        <v/>
      </c>
      <c r="P55" s="64" t="str">
        <f>IF(AND('Mapa final GC'!$AJ$38="Muy Baja",'Mapa final GC'!$AL$38="Leve"),CONCATENATE("R2C",'Mapa final GC'!$S$38),"")</f>
        <v/>
      </c>
      <c r="Q55" s="62" t="str">
        <f>IF(AND('Mapa final GC'!$AJ$33="Muy Baja",'Mapa final GC'!$AL$33="Menor"),CONCATENATE("R2C",'Mapa final GC'!$S$33),"")</f>
        <v/>
      </c>
      <c r="R55" s="63" t="str">
        <f>IF(AND('Mapa final GC'!$AJ$34="Muy Baja",'Mapa final GC'!$AL$34="Menor"),CONCATENATE("R2C",'Mapa final GC'!$S$34),"")</f>
        <v/>
      </c>
      <c r="S55" s="63" t="str">
        <f>IF(AND('Mapa final GC'!$AJ$35="Muy Baja",'Mapa final GC'!$AL$35="Menor"),CONCATENATE("R2C",'Mapa final GC'!$S$35),"")</f>
        <v/>
      </c>
      <c r="T55" s="63" t="str">
        <f>IF(AND('Mapa final GC'!$AJ$36="Muy Baja",'Mapa final GC'!$AL$36="Menor"),CONCATENATE("R2C",'Mapa final GC'!$S$36),"")</f>
        <v/>
      </c>
      <c r="U55" s="63" t="str">
        <f>IF(AND('Mapa final GC'!$AJ$37="Muy Baja",'Mapa final GC'!$AL$37="LMenor"),CONCATENATE("R2C",'Mapa final GC'!$S$37),"")</f>
        <v/>
      </c>
      <c r="V55" s="64" t="str">
        <f>IF(AND('Mapa final GC'!$AJ$38="Muy Baja",'Mapa final GC'!$AL$38="Menor"),CONCATENATE("R2C",'Mapa final GC'!$S$38),"")</f>
        <v/>
      </c>
      <c r="W55" s="53" t="str">
        <f>IF(AND('Mapa final GC'!$AJ$33="Muy Baja",'Mapa final GC'!$AL$33="Moderado"),CONCATENATE("R2C",'Mapa final GC'!$S$33),"")</f>
        <v/>
      </c>
      <c r="X55" s="54" t="str">
        <f>IF(AND('Mapa final GC'!$AJ$34="Muy Baja",'Mapa final GC'!$AL$34="Moderado"),CONCATENATE("R2C",'Mapa final GC'!$S$34),"")</f>
        <v/>
      </c>
      <c r="Y55" s="54" t="str">
        <f>IF(AND('Mapa final GC'!$AJ$35="Muy Baja",'Mapa final GC'!$AL$35="Moderado"),CONCATENATE("R2C",'Mapa final GC'!$S$35),"")</f>
        <v/>
      </c>
      <c r="Z55" s="54" t="str">
        <f>IF(AND('Mapa final GC'!$AJ$36="Muy Baja",'Mapa final GC'!$AL$36="Moderado"),CONCATENATE("R2C",'Mapa final GC'!$S$36),"")</f>
        <v/>
      </c>
      <c r="AA55" s="54" t="str">
        <f>IF(AND('Mapa final GC'!$AJ$37="Muy Baja",'Mapa final GC'!$AL$37="Moderado"),CONCATENATE("R2C",'Mapa final GC'!$S$37),"")</f>
        <v/>
      </c>
      <c r="AB55" s="55" t="str">
        <f>IF(AND('Mapa final GC'!$AJ$38="Muy Baja",'Mapa final GC'!$AL$38="Moderado"),CONCATENATE("R2C",'Mapa final GC'!$S$38),"")</f>
        <v/>
      </c>
      <c r="AC55" s="38" t="str">
        <f>IF(AND('Mapa final GC'!$AJ$33="Muy Baja",'Mapa final GC'!$AL$33="Mayor"),CONCATENATE("R2C",'Mapa final GC'!$S$33),"")</f>
        <v/>
      </c>
      <c r="AD55" s="39" t="str">
        <f>IF(AND('Mapa final GC'!$AJ$34="Muy Baja",'Mapa final GC'!$AL$34="Mayor"),CONCATENATE("R2C",'Mapa final GC'!$S$34),"")</f>
        <v/>
      </c>
      <c r="AE55" s="39" t="str">
        <f>IF(AND('Mapa final GC'!$AJ$35="Muy Baja",'Mapa final GC'!$AL$35="Mayor"),CONCATENATE("R2C",'Mapa final GC'!$S$35),"")</f>
        <v/>
      </c>
      <c r="AF55" s="39" t="str">
        <f>IF(AND('Mapa final GC'!$AJ$36="Muy Baja",'Mapa final GC'!$AL$36="Mayor"),CONCATENATE("R2C",'Mapa final GC'!$S$36),"")</f>
        <v/>
      </c>
      <c r="AG55" s="39" t="str">
        <f>IF(AND('Mapa final GC'!$AJ$37="Muy Baja",'Mapa final GC'!$AL$37="Mayor"),CONCATENATE("R2C",'Mapa final GC'!$S$37),"")</f>
        <v/>
      </c>
      <c r="AH55" s="40" t="str">
        <f>IF(AND('Mapa final GC'!$AJ$38="Muy Baja",'Mapa final GC'!$AL$38="Mayor"),CONCATENATE("R2C",'Mapa final GC'!$S$38),"")</f>
        <v/>
      </c>
      <c r="AI55" s="41" t="str">
        <f>IF(AND('Mapa final GC'!$AJ$33="Muy Baja",'Mapa final GC'!$AL$33="Catastrófico"),CONCATENATE("R2C",'Mapa final GC'!$S$33),"")</f>
        <v/>
      </c>
      <c r="AJ55" s="42" t="str">
        <f>IF(AND('Mapa final GC'!$AJ$34="Muy Baja",'Mapa final GC'!$AL$34="Catastrófico"),CONCATENATE("R2C",'Mapa final GC'!$S$34),"")</f>
        <v/>
      </c>
      <c r="AK55" s="42" t="str">
        <f>IF(AND('Mapa final GC'!$AJ$35="Muy Baja",'Mapa final GC'!$AL$35="Catastrófico"),CONCATENATE("R2C",'Mapa final GC'!$S$35),"")</f>
        <v/>
      </c>
      <c r="AL55" s="42" t="str">
        <f>IF(AND('Mapa final GC'!$AJ$36="Muy Baja",'Mapa final GC'!$AL$36="Catastrófico"),CONCATENATE("R2C",'Mapa final GC'!$S$36),"")</f>
        <v/>
      </c>
      <c r="AM55" s="42" t="str">
        <f>IF(AND('Mapa final GC'!$AJ$37="Muy Baja",'Mapa final GC'!$AL$37="LCatastrófico"),CONCATENATE("R2C",'Mapa final GC'!$S$37),"")</f>
        <v/>
      </c>
      <c r="AN55" s="43" t="str">
        <f>IF(AND('Mapa final GC'!$AJ$38="Muy Baja",'Mapa final GC'!$AL$38="Catastrófico"),CONCATENATE("R2C",'Mapa final GC'!$S$38),"")</f>
        <v/>
      </c>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2:81" ht="15" customHeight="1" x14ac:dyDescent="0.25">
      <c r="B56" s="69"/>
      <c r="C56" s="679"/>
      <c r="D56" s="679"/>
      <c r="E56" s="680"/>
      <c r="F56" s="778"/>
      <c r="G56" s="779"/>
      <c r="H56" s="779"/>
      <c r="I56" s="779"/>
      <c r="J56" s="780"/>
      <c r="K56" s="62" t="str">
        <f>IF(AND('Mapa final GC'!$AJ$39="Muy Baja",'Mapa final GC'!$AL$39="Leve"),CONCATENATE("R2C",'Mapa final GC'!$S$39),"")</f>
        <v/>
      </c>
      <c r="L56" s="63" t="str">
        <f>IF(AND('Mapa final GC'!$AJ$40="Muy Baja",'Mapa final GC'!$AL$40="Leve"),CONCATENATE("R2C",'Mapa final GC'!$S$40),"")</f>
        <v/>
      </c>
      <c r="M56" s="63" t="str">
        <f>IF(AND('Mapa final GC'!$AJ$41="Muy Baja",'Mapa final GC'!$AL$41="Leve"),CONCATENATE("R2C",'Mapa final GC'!$S$41),"")</f>
        <v/>
      </c>
      <c r="N56" s="63" t="str">
        <f>IF(AND('Mapa final GC'!$AJ$42="Muy Baja",'Mapa final GC'!$AL$42="Leve"),CONCATENATE("R2C",'Mapa final GC'!$S$42),"")</f>
        <v/>
      </c>
      <c r="O56" s="63" t="str">
        <f>IF(AND('Mapa final GC'!$AJ$43="Muy Baja",'Mapa final GC'!$AL$43="Leve"),CONCATENATE("R2C",'Mapa final GC'!$S$43),"")</f>
        <v/>
      </c>
      <c r="P56" s="64" t="str">
        <f>IF(AND('Mapa final GC'!$AJ$44="Muy Baja",'Mapa final GC'!$AL$44="Leve"),CONCATENATE("R2C",'Mapa final GC'!$S$44),"")</f>
        <v/>
      </c>
      <c r="Q56" s="62" t="str">
        <f>IF(AND('Mapa final GC'!$AJ$39="Muy Baja",'Mapa final GC'!$AL$39="Menor"),CONCATENATE("R2C",'Mapa final GC'!$S$39),"")</f>
        <v/>
      </c>
      <c r="R56" s="63" t="str">
        <f>IF(AND('Mapa final GC'!$AJ$40="Muy Baja",'Mapa final GC'!$AL$40="Menor"),CONCATENATE("R2C",'Mapa final GC'!$S$40),"")</f>
        <v/>
      </c>
      <c r="S56" s="63" t="str">
        <f>IF(AND('Mapa final GC'!$AJ$41="Muy Baja",'Mapa final GC'!$AL$41="Menor"),CONCATENATE("R2C",'Mapa final GC'!$S$41),"")</f>
        <v/>
      </c>
      <c r="T56" s="63" t="str">
        <f>IF(AND('Mapa final GC'!$AJ$42="Muy Baja",'Mapa final GC'!$AL$42="Menor"),CONCATENATE("R2C",'Mapa final GC'!$S$42),"")</f>
        <v/>
      </c>
      <c r="U56" s="63" t="str">
        <f>IF(AND('Mapa final GC'!$AJ$43="Muy Baja",'Mapa final GC'!$AL$43="Menor"),CONCATENATE("R2C",'Mapa final GC'!$S$43),"")</f>
        <v/>
      </c>
      <c r="V56" s="64" t="str">
        <f>IF(AND('Mapa final GC'!$AJ$44="Muy Baja",'Mapa final GC'!$AL$44="Menor"),CONCATENATE("R2C",'Mapa final GC'!$S$44),"")</f>
        <v/>
      </c>
      <c r="W56" s="53" t="str">
        <f>IF(AND('Mapa final GC'!$AJ$39="Muy Baja",'Mapa final GC'!$AL$39="Moderado"),CONCATENATE("R2C",'Mapa final GC'!$S$39),"")</f>
        <v/>
      </c>
      <c r="X56" s="54" t="str">
        <f>IF(AND('Mapa final GC'!$AJ$40="Muy Baja",'Mapa final GC'!$AL$40="Moderado"),CONCATENATE("R2C",'Mapa final GC'!$S$40),"")</f>
        <v/>
      </c>
      <c r="Y56" s="54" t="str">
        <f>IF(AND('Mapa final GC'!$AJ$41="Muy Baja",'Mapa final GC'!$AL$41="Moderado"),CONCATENATE("R2C",'Mapa final GC'!$S$41),"")</f>
        <v/>
      </c>
      <c r="Z56" s="54" t="str">
        <f>IF(AND('Mapa final GC'!$AJ$42="Muy Baja",'Mapa final GC'!$AL$42="Moderado"),CONCATENATE("R2C",'Mapa final GC'!$S$42),"")</f>
        <v/>
      </c>
      <c r="AA56" s="54" t="str">
        <f>IF(AND('Mapa final GC'!$AJ$43="Muy Baja",'Mapa final GC'!$AL$43="Moderado"),CONCATENATE("R2C",'Mapa final GC'!$S$43),"")</f>
        <v/>
      </c>
      <c r="AB56" s="55" t="str">
        <f>IF(AND('Mapa final GC'!$AJ$44="Muy Baja",'Mapa final GC'!$AL$44="Moderado"),CONCATENATE("R2C",'Mapa final GC'!$S$44),"")</f>
        <v/>
      </c>
      <c r="AC56" s="38" t="str">
        <f>IF(AND('Mapa final GC'!$AJ$39="Muy Baja",'Mapa final GC'!$AL$39="Mayor"),CONCATENATE("R2C",'Mapa final GC'!$S$39),"")</f>
        <v/>
      </c>
      <c r="AD56" s="39" t="str">
        <f>IF(AND('Mapa final GC'!$AJ$40="Muy Baja",'Mapa final GC'!$AL$40="Mayor"),CONCATENATE("R2C",'Mapa final GC'!$S$40),"")</f>
        <v/>
      </c>
      <c r="AE56" s="39" t="str">
        <f>IF(AND('Mapa final GC'!$AJ$41="Muy Baja",'Mapa final GC'!$AL$41="Mayor"),CONCATENATE("R2C",'Mapa final GC'!$S$41),"")</f>
        <v/>
      </c>
      <c r="AF56" s="39" t="str">
        <f>IF(AND('Mapa final GC'!$AJ$42="Muy Baja",'Mapa final GC'!$AL$42="Mayor"),CONCATENATE("R2C",'Mapa final GC'!$S$42),"")</f>
        <v/>
      </c>
      <c r="AG56" s="39" t="str">
        <f>IF(AND('Mapa final GC'!$AJ$43="Muy Baja",'Mapa final GC'!$AL$43="Mayor"),CONCATENATE("R2C",'Mapa final GC'!$S$43),"")</f>
        <v/>
      </c>
      <c r="AH56" s="40" t="str">
        <f>IF(AND('Mapa final GC'!$AJ$44="Muy Baja",'Mapa final GC'!$AL$44="Mayor"),CONCATENATE("R2C",'Mapa final GC'!$S$44),"")</f>
        <v/>
      </c>
      <c r="AI56" s="41" t="str">
        <f>IF(AND('Mapa final GC'!$AJ$39="Muy Baja",'Mapa final GC'!$AL$39="Catastrófico"),CONCATENATE("R2C",'Mapa final GC'!$S$39),"")</f>
        <v/>
      </c>
      <c r="AJ56" s="42" t="str">
        <f>IF(AND('Mapa final GC'!$AJ$40="Muy Baja",'Mapa final GC'!$AL$40="Catastrófico"),CONCATENATE("R2C",'Mapa final GC'!$S$40),"")</f>
        <v/>
      </c>
      <c r="AK56" s="42" t="str">
        <f>IF(AND('Mapa final GC'!$AJ$41="Muy Baja",'Mapa final GC'!$AL$41="Catastrófico"),CONCATENATE("R2C",'Mapa final GC'!$S$41),"")</f>
        <v/>
      </c>
      <c r="AL56" s="42" t="str">
        <f>IF(AND('Mapa final GC'!$AJ$42="Muy Baja",'Mapa final GC'!$AL$42="Catastrófico"),CONCATENATE("R2C",'Mapa final GC'!$S$42),"")</f>
        <v/>
      </c>
      <c r="AM56" s="42" t="str">
        <f>IF(AND('Mapa final GC'!$AJ$43="Muy Baja",'Mapa final GC'!$AL$43="Catastrófico"),CONCATENATE("R2C",'Mapa final GC'!$S$43),"")</f>
        <v/>
      </c>
      <c r="AN56" s="43" t="str">
        <f>IF(AND('Mapa final GC'!$AJ$44="Muy Baja",'Mapa final GC'!$AL$44="Catastrófico"),CONCATENATE("R2C",'Mapa final GC'!$S$44),"")</f>
        <v/>
      </c>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2:81" ht="15" customHeight="1" x14ac:dyDescent="0.25">
      <c r="B57" s="69"/>
      <c r="C57" s="679"/>
      <c r="D57" s="679"/>
      <c r="E57" s="680"/>
      <c r="F57" s="778"/>
      <c r="G57" s="779"/>
      <c r="H57" s="779"/>
      <c r="I57" s="779"/>
      <c r="J57" s="780"/>
      <c r="K57" s="62" t="str">
        <f>IF(AND('Mapa final GC'!$AJ$45="Muy Baja",'Mapa final GC'!$AL$45="Leve"),CONCATENATE("R2C",'Mapa final GC'!$S$45),"")</f>
        <v/>
      </c>
      <c r="L57" s="63" t="str">
        <f>IF(AND('Mapa final GC'!$AJ$46="Muy Baja",'Mapa final GC'!$AL$46="Leve"),CONCATENATE("R2C",'Mapa final GC'!$S$46),"")</f>
        <v/>
      </c>
      <c r="M57" s="63" t="str">
        <f>IF(AND('Mapa final GC'!$AJ$47="Muy Baja",'Mapa final GC'!$AL$47="Leve"),CONCATENATE("R2C",'Mapa final GC'!$S$47),"")</f>
        <v/>
      </c>
      <c r="N57" s="63" t="str">
        <f>IF(AND('Mapa final GC'!$AJ$48="Muy Baja",'Mapa final GC'!$AL$48="Leve"),CONCATENATE("R2C",'Mapa final GC'!$S$48),"")</f>
        <v/>
      </c>
      <c r="O57" s="63" t="str">
        <f>IF(AND('Mapa final GC'!$AJ$49="Muy Baja",'Mapa final GC'!$AL$49="Leve"),CONCATENATE("R2C",'Mapa final GC'!$S$49),"")</f>
        <v/>
      </c>
      <c r="P57" s="64" t="str">
        <f>IF(AND('Mapa final GC'!$AJ$60="Muy Baja",'Mapa final GC'!$AL$50="Leve"),CONCATENATE("R2C",'Mapa final GC'!$S$50),"")</f>
        <v/>
      </c>
      <c r="Q57" s="62" t="str">
        <f>IF(AND('Mapa final GC'!$AJ$45="Muy Baja",'Mapa final GC'!$AL$45="Menor"),CONCATENATE("R2C",'Mapa final GC'!$S$45),"")</f>
        <v/>
      </c>
      <c r="R57" s="63" t="str">
        <f>IF(AND('Mapa final GC'!$AJ$46="Muy Baja",'Mapa final GC'!$AL$46="Menor"),CONCATENATE("R2C",'Mapa final GC'!$S$46),"")</f>
        <v/>
      </c>
      <c r="S57" s="63" t="str">
        <f>IF(AND('Mapa final GC'!$AJ$47="Muy Baja",'Mapa final GC'!$AL$47="Menor"),CONCATENATE("R2C",'Mapa final GC'!$S$47),"")</f>
        <v/>
      </c>
      <c r="T57" s="63" t="str">
        <f>IF(AND('Mapa final GC'!$AJ$48="Muy Baja",'Mapa final GC'!$AL$48="Menor"),CONCATENATE("R2C",'Mapa final GC'!$S$48),"")</f>
        <v/>
      </c>
      <c r="U57" s="63" t="str">
        <f>IF(AND('Mapa final GC'!$AJ$49="Muy Baja",'Mapa final GC'!$AL$49="Menor"),CONCATENATE("R2C",'Mapa final GC'!$S$49),"")</f>
        <v/>
      </c>
      <c r="V57" s="64" t="str">
        <f>IF(AND('Mapa final GC'!$AJ$60="Muy Baja",'Mapa final GC'!$AL$50="Menor"),CONCATENATE("R2C",'Mapa final GC'!$S$50),"")</f>
        <v/>
      </c>
      <c r="W57" s="53" t="str">
        <f>IF(AND('Mapa final GC'!$AJ$45="Muy Baja",'Mapa final GC'!$AL$45="Moderado"),CONCATENATE("R2C",'Mapa final GC'!$S$45),"")</f>
        <v/>
      </c>
      <c r="X57" s="54" t="str">
        <f>IF(AND('Mapa final GC'!$AJ$46="Muy Baja",'Mapa final GC'!$AL$46="Moderado"),CONCATENATE("R2C",'Mapa final GC'!$S$46),"")</f>
        <v/>
      </c>
      <c r="Y57" s="54" t="str">
        <f>IF(AND('Mapa final GC'!$AJ$47="Muy Baja",'Mapa final GC'!$AL$47="Moderado"),CONCATENATE("R2C",'Mapa final GC'!$S$47),"")</f>
        <v/>
      </c>
      <c r="Z57" s="54" t="str">
        <f>IF(AND('Mapa final GC'!$AJ$48="Muy Baja",'Mapa final GC'!$AL$48="Moderado"),CONCATENATE("R2C",'Mapa final GC'!$S$48),"")</f>
        <v/>
      </c>
      <c r="AA57" s="54" t="str">
        <f>IF(AND('Mapa final GC'!$AJ$49="Muy Baja",'Mapa final GC'!$AL$49="Moderado"),CONCATENATE("R2C",'Mapa final GC'!$S$49),"")</f>
        <v/>
      </c>
      <c r="AB57" s="55" t="str">
        <f>IF(AND('Mapa final GC'!$AJ$60="Muy Baja",'Mapa final GC'!$AL$50="Moderado"),CONCATENATE("R2C",'Mapa final GC'!$S$50),"")</f>
        <v/>
      </c>
      <c r="AC57" s="38" t="str">
        <f>IF(AND('Mapa final GC'!$AJ$45="Muy Baja",'Mapa final GC'!$AL$45="Mayor"),CONCATENATE("R2C",'Mapa final GC'!$S$45),"")</f>
        <v/>
      </c>
      <c r="AD57" s="39" t="str">
        <f>IF(AND('Mapa final GC'!$AJ$46="Muy Baja",'Mapa final GC'!$AL$46="Mayor"),CONCATENATE("R2C",'Mapa final GC'!$S$46),"")</f>
        <v/>
      </c>
      <c r="AE57" s="39" t="str">
        <f>IF(AND('Mapa final GC'!$AJ$47="Muy Baja",'Mapa final GC'!$AL$47="Mayor"),CONCATENATE("R2C",'Mapa final GC'!$S$47),"")</f>
        <v/>
      </c>
      <c r="AF57" s="39" t="str">
        <f>IF(AND('Mapa final GC'!$AJ$48="Muy Baja",'Mapa final GC'!$AL$48="Mayor"),CONCATENATE("R2C",'Mapa final GC'!$S$48),"")</f>
        <v/>
      </c>
      <c r="AG57" s="39" t="str">
        <f>IF(AND('Mapa final GC'!$AJ$49="Muy Baja",'Mapa final GC'!$AL$49="Mayor"),CONCATENATE("R2C",'Mapa final GC'!$S$49),"")</f>
        <v/>
      </c>
      <c r="AH57" s="40" t="str">
        <f>IF(AND('Mapa final GC'!$AJ$60="Muy Baja",'Mapa final GC'!$AL$50="Mayor"),CONCATENATE("R2C",'Mapa final GC'!$S$50),"")</f>
        <v/>
      </c>
      <c r="AI57" s="41" t="str">
        <f>IF(AND('Mapa final GC'!$AJ$45="Muy Baja",'Mapa final GC'!$AL$45="Catastrófico"),CONCATENATE("R2C",'Mapa final GC'!$S$45),"")</f>
        <v/>
      </c>
      <c r="AJ57" s="42" t="str">
        <f>IF(AND('Mapa final GC'!$AJ$46="Muy Baja",'Mapa final GC'!$AL$46="Catastrófico"),CONCATENATE("R2C",'Mapa final GC'!$S$46),"")</f>
        <v/>
      </c>
      <c r="AK57" s="42" t="str">
        <f>IF(AND('Mapa final GC'!$AJ$47="Muy Baja",'Mapa final GC'!$AL$47="Catastrófico"),CONCATENATE("R2C",'Mapa final GC'!$S$47),"")</f>
        <v/>
      </c>
      <c r="AL57" s="42" t="str">
        <f>IF(AND('Mapa final GC'!$AJ$48="Muy Baja",'Mapa final GC'!$AL$48="Catastrófico"),CONCATENATE("R2C",'Mapa final GC'!$S$48),"")</f>
        <v/>
      </c>
      <c r="AM57" s="42" t="str">
        <f>IF(AND('Mapa final GC'!$AJ$49="Muy Baja",'Mapa final GC'!$AL$49="Catastrófico"),CONCATENATE("R2C",'Mapa final GC'!$S$49),"")</f>
        <v/>
      </c>
      <c r="AN57" s="43" t="str">
        <f>IF(AND('Mapa final GC'!$AJ$60="Muy Baja",'Mapa final GC'!$AL$50="Catastrófico"),CONCATENATE("R2C",'Mapa final GC'!$S$50),"")</f>
        <v/>
      </c>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2:81" ht="15" customHeight="1" x14ac:dyDescent="0.25">
      <c r="B58" s="69"/>
      <c r="C58" s="679"/>
      <c r="D58" s="679"/>
      <c r="E58" s="680"/>
      <c r="F58" s="778"/>
      <c r="G58" s="779"/>
      <c r="H58" s="779"/>
      <c r="I58" s="779"/>
      <c r="J58" s="780"/>
      <c r="K58" s="62" t="str">
        <f>IF(AND('Mapa final GC'!$AJ$51="Muy Baja",'Mapa final GC'!$AL$51="Leve"),CONCATENATE("R2C",'Mapa final GC'!$S$51),"")</f>
        <v/>
      </c>
      <c r="L58" s="63" t="str">
        <f>IF(AND('Mapa final GC'!$AJ$52="Muy Baja",'Mapa final GC'!$AL$52="Leve"),CONCATENATE("R2C",'Mapa final GC'!$S$52),"")</f>
        <v/>
      </c>
      <c r="M58" s="63" t="str">
        <f>IF(AND('Mapa final GC'!$AJ$53="Muy Baja",'Mapa final GC'!$AL$53="Leve"),CONCATENATE("R2C",'Mapa final GC'!$S$53),"")</f>
        <v/>
      </c>
      <c r="N58" s="63" t="str">
        <f>IF(AND('Mapa final GC'!$AJ$54="Muy Baja",'Mapa final GC'!$AL$54="Leve"),CONCATENATE("R2C",'Mapa final GC'!$S$54),"")</f>
        <v/>
      </c>
      <c r="O58" s="63" t="str">
        <f>IF(AND('Mapa final GC'!$AJ$55="Muy Baja",'Mapa final GC'!$AL$55="Leve"),CONCATENATE("R2C",'Mapa final GC'!$S$55),"")</f>
        <v/>
      </c>
      <c r="P58" s="64" t="str">
        <f>IF(AND('Mapa final GC'!$AJ$56="Muy Baja",'Mapa final GC'!$AL$56="Leve"),CONCATENATE("R2C",'Mapa final GC'!$S$56),"")</f>
        <v/>
      </c>
      <c r="Q58" s="62" t="str">
        <f>IF(AND('Mapa final GC'!$AJ$51="Muy Baja",'Mapa final GC'!$AL$51="Menor"),CONCATENATE("R2C",'Mapa final GC'!$S$51),"")</f>
        <v/>
      </c>
      <c r="R58" s="63" t="str">
        <f>IF(AND('Mapa final GC'!$AJ$52="Muy Baja",'Mapa final GC'!$AL$52="Menor"),CONCATENATE("R2C",'Mapa final GC'!$S$52),"")</f>
        <v/>
      </c>
      <c r="S58" s="63" t="str">
        <f>IF(AND('Mapa final GC'!$AJ$53="Muy Baja",'Mapa final GC'!$AL$53="Menor"),CONCATENATE("R2C",'Mapa final GC'!$S$53),"")</f>
        <v/>
      </c>
      <c r="T58" s="63" t="str">
        <f>IF(AND('Mapa final GC'!$AJ$54="Muy Baja",'Mapa final GC'!$AL$54="Menor"),CONCATENATE("R2C",'Mapa final GC'!$S$54),"")</f>
        <v/>
      </c>
      <c r="U58" s="63" t="str">
        <f>IF(AND('Mapa final GC'!$AJ$55="Muy Baja",'Mapa final GC'!$AL$55="Menor"),CONCATENATE("R2C",'Mapa final GC'!$S$55),"")</f>
        <v/>
      </c>
      <c r="V58" s="64" t="str">
        <f>IF(AND('Mapa final GC'!$AJ$56="Muy Baja",'Mapa final GC'!$AL$56="Menor"),CONCATENATE("R2C",'Mapa final GC'!$S$56),"")</f>
        <v/>
      </c>
      <c r="W58" s="53" t="str">
        <f>IF(AND('Mapa final GC'!$AJ$51="Muy Baja",'Mapa final GC'!$AL$51="Moderado"),CONCATENATE("R2C",'Mapa final GC'!$S$51),"")</f>
        <v/>
      </c>
      <c r="X58" s="54" t="str">
        <f>IF(AND('Mapa final GC'!$AJ$52="Muy Baja",'Mapa final GC'!$AL$52="Moderado"),CONCATENATE("R2C",'Mapa final GC'!$S$52),"")</f>
        <v/>
      </c>
      <c r="Y58" s="54" t="str">
        <f>IF(AND('Mapa final GC'!$AJ$53="Muy Baja",'Mapa final GC'!$AL$53="Moderado"),CONCATENATE("R2C",'Mapa final GC'!$S$53),"")</f>
        <v/>
      </c>
      <c r="Z58" s="54" t="str">
        <f>IF(AND('Mapa final GC'!$AJ$54="Muy Baja",'Mapa final GC'!$AL$54="Moderado"),CONCATENATE("R2C",'Mapa final GC'!$S$54),"")</f>
        <v/>
      </c>
      <c r="AA58" s="54" t="str">
        <f>IF(AND('Mapa final GC'!$AJ$55="Muy Baja",'Mapa final GC'!$AL$55="Moderado"),CONCATENATE("R2C",'Mapa final GC'!$S$55),"")</f>
        <v/>
      </c>
      <c r="AB58" s="55" t="str">
        <f>IF(AND('Mapa final GC'!$AJ$56="Muy Baja",'Mapa final GC'!$AL$56="Moderado"),CONCATENATE("R2C",'Mapa final GC'!$S$56),"")</f>
        <v/>
      </c>
      <c r="AC58" s="38" t="str">
        <f>IF(AND('Mapa final GC'!$AJ$51="Muy Baja",'Mapa final GC'!$AL$51="Mayor"),CONCATENATE("R2C",'Mapa final GC'!$S$51),"")</f>
        <v/>
      </c>
      <c r="AD58" s="39" t="str">
        <f>IF(AND('Mapa final GC'!$AJ$52="Muy Baja",'Mapa final GC'!$AL$52="Mayor"),CONCATENATE("R2C",'Mapa final GC'!$S$52),"")</f>
        <v/>
      </c>
      <c r="AE58" s="39" t="str">
        <f>IF(AND('Mapa final GC'!$AJ$53="Muy Baja",'Mapa final GC'!$AL$53="Mayor"),CONCATENATE("R2C",'Mapa final GC'!$S$53),"")</f>
        <v/>
      </c>
      <c r="AF58" s="39" t="str">
        <f>IF(AND('Mapa final GC'!$AJ$54="Muy Baja",'Mapa final GC'!$AL$54="Mayor"),CONCATENATE("R2C",'Mapa final GC'!$S$54),"")</f>
        <v/>
      </c>
      <c r="AG58" s="39" t="str">
        <f>IF(AND('Mapa final GC'!$AJ$55="Muy Baja",'Mapa final GC'!$AL$55="Mayor"),CONCATENATE("R2C",'Mapa final GC'!$S$55),"")</f>
        <v/>
      </c>
      <c r="AH58" s="40" t="str">
        <f>IF(AND('Mapa final GC'!$AJ$56="Muy Baja",'Mapa final GC'!$AL$56="Mayor"),CONCATENATE("R2C",'Mapa final GC'!$S$56),"")</f>
        <v/>
      </c>
      <c r="AI58" s="41" t="str">
        <f>IF(AND('Mapa final GC'!$AJ$51="Muy Baja",'Mapa final GC'!$AL$51="Catastrófico"),CONCATENATE("R2C",'Mapa final GC'!$S$51),"")</f>
        <v/>
      </c>
      <c r="AJ58" s="42" t="str">
        <f>IF(AND('Mapa final GC'!$AJ$52="Muy Baja",'Mapa final GC'!$AL$52="Catastrófico"),CONCATENATE("R2C",'Mapa final GC'!$S$52),"")</f>
        <v/>
      </c>
      <c r="AK58" s="42" t="str">
        <f>IF(AND('Mapa final GC'!$AJ$53="Muy Baja",'Mapa final GC'!$AL$53="Catastrófico"),CONCATENATE("R2C",'Mapa final GC'!$S$53),"")</f>
        <v/>
      </c>
      <c r="AL58" s="42" t="str">
        <f>IF(AND('Mapa final GC'!$AJ$54="Muy Baja",'Mapa final GC'!$AL$54="Catastrófico"),CONCATENATE("R2C",'Mapa final GC'!$S$54),"")</f>
        <v/>
      </c>
      <c r="AM58" s="42" t="str">
        <f>IF(AND('Mapa final GC'!$AJ$55="Muy Baja",'Mapa final GC'!$AL$55="Catastrófico"),CONCATENATE("R2C",'Mapa final GC'!$S$55),"")</f>
        <v/>
      </c>
      <c r="AN58" s="43" t="str">
        <f>IF(AND('Mapa final GC'!$AJ$56="Muy Baja",'Mapa final GC'!$AL$56="Catastrófico"),CONCATENATE("R2C",'Mapa final GC'!$S$56),"")</f>
        <v/>
      </c>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row r="59" spans="2:81" ht="15" customHeight="1" x14ac:dyDescent="0.25">
      <c r="B59" s="69"/>
      <c r="C59" s="679"/>
      <c r="D59" s="679"/>
      <c r="E59" s="680"/>
      <c r="F59" s="778"/>
      <c r="G59" s="779"/>
      <c r="H59" s="779"/>
      <c r="I59" s="779"/>
      <c r="J59" s="780"/>
      <c r="K59" s="62" t="str">
        <f>IF(AND('Mapa final GC'!$AJ$57="Muy Baja",'Mapa final GC'!$AL$57="Leve"),CONCATENATE("R2C",'Mapa final GC'!$S$57),"")</f>
        <v/>
      </c>
      <c r="L59" s="63" t="str">
        <f>IF(AND('Mapa final GC'!$AJ$58="Muy Baja",'Mapa final GC'!$AL$58="Leve"),CONCATENATE("R2C",'Mapa final GC'!$S$58),"")</f>
        <v/>
      </c>
      <c r="M59" s="63" t="str">
        <f>IF(AND('Mapa final GC'!$AJ$59="Muy Baja",'Mapa final GC'!$AL$59="Leve"),CONCATENATE("R2C",'Mapa final GC'!$S$59),"")</f>
        <v/>
      </c>
      <c r="N59" s="63" t="str">
        <f>IF(AND('Mapa final GC'!$AJ$60="Muy Baja",'Mapa final GC'!$AL$60="Leve"),CONCATENATE("R2C",'Mapa final GC'!$S$60),"")</f>
        <v/>
      </c>
      <c r="O59" s="63" t="str">
        <f>IF(AND('Mapa final GC'!$AJ$61="Muy Baja",'Mapa final GC'!$AL$61="Leve"),CONCATENATE("R2C",'Mapa final GC'!$S$61),"")</f>
        <v/>
      </c>
      <c r="P59" s="64" t="str">
        <f>IF(AND('Mapa final GC'!$AJ$62="Muy Baja",'Mapa final GC'!$AL$62="Leve"),CONCATENATE("R2C",'Mapa final GC'!$S$62),"")</f>
        <v/>
      </c>
      <c r="Q59" s="62" t="str">
        <f>IF(AND('Mapa final GC'!$AJ$57="Muy Baja",'Mapa final GC'!$AL$57="Menor"),CONCATENATE("R2C",'Mapa final GC'!$S$57),"")</f>
        <v/>
      </c>
      <c r="R59" s="63" t="str">
        <f>IF(AND('Mapa final GC'!$AJ$58="Muy Baja",'Mapa final GC'!$AL$58="Menor"),CONCATENATE("R2C",'Mapa final GC'!$S$58),"")</f>
        <v/>
      </c>
      <c r="S59" s="63" t="str">
        <f>IF(AND('Mapa final GC'!$AJ$59="Muy Baja",'Mapa final GC'!$AL$59="Menor"),CONCATENATE("R2C",'Mapa final GC'!$S$59),"")</f>
        <v/>
      </c>
      <c r="T59" s="63" t="str">
        <f>IF(AND('Mapa final GC'!$AJ$60="Muy Baja",'Mapa final GC'!$AL$60="Menor"),CONCATENATE("R2C",'Mapa final GC'!$S$60),"")</f>
        <v/>
      </c>
      <c r="U59" s="63" t="str">
        <f>IF(AND('Mapa final GC'!$AJ$61="Muy Baja",'Mapa final GC'!$AL$61="Menor"),CONCATENATE("R2C",'Mapa final GC'!$S$61),"")</f>
        <v/>
      </c>
      <c r="V59" s="64" t="str">
        <f>IF(AND('Mapa final GC'!$AJ$62="Muy Baja",'Mapa final GC'!$AL$62="Menor"),CONCATENATE("R2C",'Mapa final GC'!$S$62),"")</f>
        <v/>
      </c>
      <c r="W59" s="53" t="str">
        <f>IF(AND('Mapa final GC'!$AJ$57="Muy Baja",'Mapa final GC'!$AL$57="Moderado"),CONCATENATE("R2C",'Mapa final GC'!$S$57),"")</f>
        <v/>
      </c>
      <c r="X59" s="54" t="str">
        <f>IF(AND('Mapa final GC'!$AJ$58="Muy Baja",'Mapa final GC'!$AL$58="Moderado"),CONCATENATE("R2C",'Mapa final GC'!$S$58),"")</f>
        <v/>
      </c>
      <c r="Y59" s="54" t="str">
        <f>IF(AND('Mapa final GC'!$AJ$59="Muy Baja",'Mapa final GC'!$AL$59="Moderado"),CONCATENATE("R2C",'Mapa final GC'!$S$59),"")</f>
        <v/>
      </c>
      <c r="Z59" s="54" t="str">
        <f>IF(AND('Mapa final GC'!$AJ$60="Muy Baja",'Mapa final GC'!$AL$60="Moderado"),CONCATENATE("R2C",'Mapa final GC'!$S$60),"")</f>
        <v/>
      </c>
      <c r="AA59" s="54" t="str">
        <f>IF(AND('Mapa final GC'!$AJ$61="Muy Baja",'Mapa final GC'!$AL$61="Moderado"),CONCATENATE("R2C",'Mapa final GC'!$S$61),"")</f>
        <v/>
      </c>
      <c r="AB59" s="55" t="str">
        <f>IF(AND('Mapa final GC'!$AJ$62="Muy Baja",'Mapa final GC'!$AL$62="Moderado"),CONCATENATE("R2C",'Mapa final GC'!$S$62),"")</f>
        <v/>
      </c>
      <c r="AC59" s="38" t="str">
        <f>IF(AND('Mapa final GC'!$AJ$57="Muy Baja",'Mapa final GC'!$AL$57="Mayor"),CONCATENATE("R2C",'Mapa final GC'!$S$57),"")</f>
        <v/>
      </c>
      <c r="AD59" s="39" t="str">
        <f>IF(AND('Mapa final GC'!$AJ$58="Muy Baja",'Mapa final GC'!$AL$58="Mayor"),CONCATENATE("R2C",'Mapa final GC'!$S$58),"")</f>
        <v/>
      </c>
      <c r="AE59" s="39" t="str">
        <f>IF(AND('Mapa final GC'!$AJ$59="Muy Baja",'Mapa final GC'!$AL$59="Mayor"),CONCATENATE("R2C",'Mapa final GC'!$S$59),"")</f>
        <v/>
      </c>
      <c r="AF59" s="39" t="str">
        <f>IF(AND('Mapa final GC'!$AJ$60="Muy Baja",'Mapa final GC'!$AL$60="Mayor"),CONCATENATE("R2C",'Mapa final GC'!$S$60),"")</f>
        <v/>
      </c>
      <c r="AG59" s="39" t="str">
        <f>IF(AND('Mapa final GC'!$AJ$61="Muy Baja",'Mapa final GC'!$AL$61="Mayor"),CONCATENATE("R2C",'Mapa final GC'!$S$61),"")</f>
        <v/>
      </c>
      <c r="AH59" s="40" t="str">
        <f>IF(AND('Mapa final GC'!$AJ$62="Muy Baja",'Mapa final GC'!$AL$62="Mayor"),CONCATENATE("R2C",'Mapa final GC'!$S$62),"")</f>
        <v/>
      </c>
      <c r="AI59" s="41" t="str">
        <f>IF(AND('Mapa final GC'!$AJ$57="Muy Baja",'Mapa final GC'!$AL$57="Catastrófico"),CONCATENATE("R2C",'Mapa final GC'!$S$57),"")</f>
        <v/>
      </c>
      <c r="AJ59" s="42" t="str">
        <f>IF(AND('Mapa final GC'!$AJ$58="Muy Baja",'Mapa final GC'!$AL$58="Catastrófico"),CONCATENATE("R2C",'Mapa final GC'!$S$58),"")</f>
        <v/>
      </c>
      <c r="AK59" s="42" t="str">
        <f>IF(AND('Mapa final GC'!$AJ$59="Muy Baja",'Mapa final GC'!$AL$59="Catastrófico"),CONCATENATE("R2C",'Mapa final GC'!$S$59),"")</f>
        <v/>
      </c>
      <c r="AL59" s="42" t="str">
        <f>IF(AND('Mapa final GC'!$AJ$60="Muy Baja",'Mapa final GC'!$AL$60="Catastrófico"),CONCATENATE("R2C",'Mapa final GC'!$S$60),"")</f>
        <v/>
      </c>
      <c r="AM59" s="42" t="str">
        <f>IF(AND('Mapa final GC'!$AJ$61="Muy Baja",'Mapa final GC'!$AL$61="Catastrófico"),CONCATENATE("R2C",'Mapa final GC'!$S$61),"")</f>
        <v/>
      </c>
      <c r="AN59" s="43" t="str">
        <f>IF(AND('Mapa final GC'!$AJ$62="Muy Baja",'Mapa final GC'!$AL$62="Catastrófico"),CONCATENATE("R2C",'Mapa final GC'!$S$62),"")</f>
        <v/>
      </c>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row>
    <row r="60" spans="2:81" ht="15" customHeight="1" x14ac:dyDescent="0.25">
      <c r="B60" s="69"/>
      <c r="C60" s="679"/>
      <c r="D60" s="679"/>
      <c r="E60" s="680"/>
      <c r="F60" s="778"/>
      <c r="G60" s="779"/>
      <c r="H60" s="779"/>
      <c r="I60" s="779"/>
      <c r="J60" s="780"/>
      <c r="K60" s="62" t="str">
        <f>IF(AND('Mapa final GC'!$AJ$63="Muy Baja",'Mapa final GC'!$AL$63="Leve"),CONCATENATE("R2C",'Mapa final GC'!$S$63),"")</f>
        <v/>
      </c>
      <c r="L60" s="63" t="str">
        <f>IF(AND('Mapa final GC'!$AJ$64="Muy Baja",'Mapa final GC'!$AL$64="Leve"),CONCATENATE("R2C",'Mapa final GC'!$S$64),"")</f>
        <v/>
      </c>
      <c r="M60" s="63" t="str">
        <f>IF(AND('Mapa final GC'!$AJ$65="Muy Baja",'Mapa final GC'!$AL$65="Leve"),CONCATENATE("R2C",'Mapa final GC'!$S$65),"")</f>
        <v/>
      </c>
      <c r="N60" s="63" t="str">
        <f>IF(AND('Mapa final GC'!$AJ$66="Muy Baja",'Mapa final GC'!$AL$66="Leve"),CONCATENATE("R2C",'Mapa final GC'!$S$66),"")</f>
        <v/>
      </c>
      <c r="O60" s="63" t="str">
        <f>IF(AND('Mapa final GC'!$AJ$67="Muy Baja",'Mapa final GC'!$AL$67="Leve"),CONCATENATE("R2C",'Mapa final GC'!$S$67),"")</f>
        <v/>
      </c>
      <c r="P60" s="64" t="str">
        <f>IF(AND('Mapa final GC'!$AJ$68="Muy Baja",'Mapa final GC'!$AL$68="Leve"),CONCATENATE("R2C",'Mapa final GC'!$S$68),"")</f>
        <v/>
      </c>
      <c r="Q60" s="62" t="str">
        <f>IF(AND('Mapa final GC'!$AJ$63="Muy Baja",'Mapa final GC'!$AL$63="Menor"),CONCATENATE("R2C",'Mapa final GC'!$S$63),"")</f>
        <v/>
      </c>
      <c r="R60" s="63" t="str">
        <f>IF(AND('Mapa final GC'!$AJ$64="Muy Baja",'Mapa final GC'!$AL$64="Menor"),CONCATENATE("R2C",'Mapa final GC'!$S$64),"")</f>
        <v/>
      </c>
      <c r="S60" s="63" t="str">
        <f>IF(AND('Mapa final GC'!$AJ$65="Muy Baja",'Mapa final GC'!$AL$65="Menor"),CONCATENATE("R2C",'Mapa final GC'!$S$65),"")</f>
        <v/>
      </c>
      <c r="T60" s="63" t="str">
        <f>IF(AND('Mapa final GC'!$AJ$66="Muy Baja",'Mapa final GC'!$AL$66="Menor"),CONCATENATE("R2C",'Mapa final GC'!$S$66),"")</f>
        <v/>
      </c>
      <c r="U60" s="63" t="str">
        <f>IF(AND('Mapa final GC'!$AJ$67="Muy Baja",'Mapa final GC'!$AL$67="Menor"),CONCATENATE("R2C",'Mapa final GC'!$S$67),"")</f>
        <v/>
      </c>
      <c r="V60" s="64" t="str">
        <f>IF(AND('Mapa final GC'!$AJ$68="Muy Baja",'Mapa final GC'!$AL$68="Menor"),CONCATENATE("R2C",'Mapa final GC'!$S$68),"")</f>
        <v/>
      </c>
      <c r="W60" s="53" t="str">
        <f>IF(AND('Mapa final GC'!$AJ$63="Muy Baja",'Mapa final GC'!$AL$63="Moderado"),CONCATENATE("R2C",'Mapa final GC'!$S$63),"")</f>
        <v/>
      </c>
      <c r="X60" s="54" t="str">
        <f>IF(AND('Mapa final GC'!$AJ$64="Muy Baja",'Mapa final GC'!$AL$64="Moderado"),CONCATENATE("R2C",'Mapa final GC'!$S$64),"")</f>
        <v/>
      </c>
      <c r="Y60" s="54" t="str">
        <f>IF(AND('Mapa final GC'!$AJ$65="Muy Baja",'Mapa final GC'!$AL$65="Moderado"),CONCATENATE("R2C",'Mapa final GC'!$S$65),"")</f>
        <v/>
      </c>
      <c r="Z60" s="54" t="str">
        <f>IF(AND('Mapa final GC'!$AJ$66="Muy Baja",'Mapa final GC'!$AL$66="Moderado"),CONCATENATE("R2C",'Mapa final GC'!$S$66),"")</f>
        <v/>
      </c>
      <c r="AA60" s="54" t="str">
        <f>IF(AND('Mapa final GC'!$AJ$67="Muy Baja",'Mapa final GC'!$AL$67="Moderado"),CONCATENATE("R2C",'Mapa final GC'!$S$67),"")</f>
        <v/>
      </c>
      <c r="AB60" s="55" t="str">
        <f>IF(AND('Mapa final GC'!$AJ$68="Muy Baja",'Mapa final GC'!$AL$68="Moderado"),CONCATENATE("R2C",'Mapa final GC'!$S$68),"")</f>
        <v/>
      </c>
      <c r="AC60" s="38" t="str">
        <f>IF(AND('Mapa final GC'!$AJ$63="Muy Baja",'Mapa final GC'!$AL$63="Mayor"),CONCATENATE("R2C",'Mapa final GC'!$S$63),"")</f>
        <v/>
      </c>
      <c r="AD60" s="39" t="str">
        <f>IF(AND('Mapa final GC'!$AJ$64="Muy Baja",'Mapa final GC'!$AL$64="Mayor"),CONCATENATE("R2C",'Mapa final GC'!$S$64),"")</f>
        <v/>
      </c>
      <c r="AE60" s="39" t="str">
        <f>IF(AND('Mapa final GC'!$AJ$65="Muy Baja",'Mapa final GC'!$AL$65="Mayor"),CONCATENATE("R2C",'Mapa final GC'!$S$65),"")</f>
        <v/>
      </c>
      <c r="AF60" s="39" t="str">
        <f>IF(AND('Mapa final GC'!$AJ$66="Muy Baja",'Mapa final GC'!$AL$66="Mayor"),CONCATENATE("R2C",'Mapa final GC'!$S$66),"")</f>
        <v/>
      </c>
      <c r="AG60" s="39" t="str">
        <f>IF(AND('Mapa final GC'!$AJ$67="Muy Baja",'Mapa final GC'!$AL$67="Mayor"),CONCATENATE("R2C",'Mapa final GC'!$S$67),"")</f>
        <v/>
      </c>
      <c r="AH60" s="40" t="str">
        <f>IF(AND('Mapa final GC'!$AJ$68="Muy Baja",'Mapa final GC'!$AL$68="Mayor"),CONCATENATE("R2C",'Mapa final GC'!$S$68),"")</f>
        <v/>
      </c>
      <c r="AI60" s="41" t="str">
        <f>IF(AND('Mapa final GC'!$AJ$63="Muy Baja",'Mapa final GC'!$AL$63="Catastrófico"),CONCATENATE("R2C",'Mapa final GC'!$S$63),"")</f>
        <v/>
      </c>
      <c r="AJ60" s="42" t="str">
        <f>IF(AND('Mapa final GC'!$AJ$64="Muy Baja",'Mapa final GC'!$AL$64="Catastrófico"),CONCATENATE("R2C",'Mapa final GC'!$S$64),"")</f>
        <v/>
      </c>
      <c r="AK60" s="42" t="str">
        <f>IF(AND('Mapa final GC'!$AJ$65="Muy Baja",'Mapa final GC'!$AL$65="Catastrófico"),CONCATENATE("R2C",'Mapa final GC'!$S$65),"")</f>
        <v/>
      </c>
      <c r="AL60" s="42" t="str">
        <f>IF(AND('Mapa final GC'!$AJ$66="Muy Baja",'Mapa final GC'!$AL$66="Catastrófico"),CONCATENATE("R2C",'Mapa final GC'!$S$66),"")</f>
        <v/>
      </c>
      <c r="AM60" s="42" t="str">
        <f>IF(AND('Mapa final GC'!$AJ$67="Muy Baja",'Mapa final GC'!$AL$67="Catastrófico"),CONCATENATE("R2C",'Mapa final GC'!$S$67),"")</f>
        <v/>
      </c>
      <c r="AN60" s="43" t="str">
        <f>IF(AND('Mapa final GC'!$AJ$68="Muy Baja",'Mapa final GC'!$AL$68="Catastrófico"),CONCATENATE("R2C",'Mapa final GC'!$S$68),"")</f>
        <v/>
      </c>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row>
    <row r="61" spans="2:81" ht="15.75" customHeight="1" thickBot="1" x14ac:dyDescent="0.3">
      <c r="B61" s="69"/>
      <c r="C61" s="679"/>
      <c r="D61" s="679"/>
      <c r="E61" s="680"/>
      <c r="F61" s="781"/>
      <c r="G61" s="782"/>
      <c r="H61" s="782"/>
      <c r="I61" s="782"/>
      <c r="J61" s="783"/>
      <c r="K61" s="65" t="str">
        <f>IF(AND('Mapa final GC'!$AJ$69="Muy Baja",'Mapa final GC'!$AL$69="Leve"),CONCATENATE("R2C",'Mapa final GC'!$S$69),"")</f>
        <v/>
      </c>
      <c r="L61" s="66" t="str">
        <f>IF(AND('Mapa final GC'!$AJ$70="Muy Baja",'Mapa final GC'!$AL$70="Leve"),CONCATENATE("R2C",'Mapa final GC'!$S$70),"")</f>
        <v/>
      </c>
      <c r="M61" s="66" t="str">
        <f>IF(AND('Mapa final GC'!$AJ$71="Muy Baja",'Mapa final GC'!$AL$71="Leve"),CONCATENATE("R2C",'Mapa final GC'!$S$71),"")</f>
        <v/>
      </c>
      <c r="N61" s="66" t="str">
        <f>IF(AND('Mapa final GC'!$AJ$72="Muy Baja",'Mapa final GC'!$AL$72="Leve"),CONCATENATE("R2C",'Mapa final GC'!$S$72),"")</f>
        <v/>
      </c>
      <c r="O61" s="66" t="str">
        <f>IF(AND('Mapa final GC'!$AJ$74="Muy Baja",'Mapa final GC'!$AL$74="Leve"),CONCATENATE("R2C",'Mapa final GC'!$S$74),"")</f>
        <v/>
      </c>
      <c r="P61" s="67" t="str">
        <f>IF(AND('Mapa final GC'!$AJ$75="Muy Baja",'Mapa final GC'!$AL$75="Leve"),CONCATENATE("R2C",'Mapa final GC'!$S$75),"")</f>
        <v/>
      </c>
      <c r="Q61" s="65" t="str">
        <f>IF(AND('Mapa final GC'!$AJ$69="Muy Baja",'Mapa final GC'!$AL$69="Menor"),CONCATENATE("R2C",'Mapa final GC'!$S$69),"")</f>
        <v/>
      </c>
      <c r="R61" s="66" t="str">
        <f>IF(AND('Mapa final GC'!$AJ$70="Muy Baja",'Mapa final GC'!$AL$70="Menor"),CONCATENATE("R2C",'Mapa final GC'!$S$70),"")</f>
        <v/>
      </c>
      <c r="S61" s="66" t="str">
        <f>IF(AND('Mapa final GC'!$AJ$71="Muy Baja",'Mapa final GC'!$AL$71="Menor"),CONCATENATE("R2C",'Mapa final GC'!$S$71),"")</f>
        <v/>
      </c>
      <c r="T61" s="66" t="str">
        <f>IF(AND('Mapa final GC'!$AJ$72="Muy Baja",'Mapa final GC'!$AL$72="Menor"),CONCATENATE("R2C",'Mapa final GC'!$S$72),"")</f>
        <v/>
      </c>
      <c r="U61" s="66" t="str">
        <f>IF(AND('Mapa final GC'!$AJ$74="Muy Baja",'Mapa final GC'!$AL$74="Menor"),CONCATENATE("R2C",'Mapa final GC'!$S$74),"")</f>
        <v/>
      </c>
      <c r="V61" s="67" t="str">
        <f>IF(AND('Mapa final GC'!$AJ$75="Muy Baja",'Mapa final GC'!$AL$75="Menor"),CONCATENATE("R2C",'Mapa final GC'!$S$75),"")</f>
        <v/>
      </c>
      <c r="W61" s="56" t="str">
        <f>IF(AND('Mapa final GC'!$AJ$69="Muy Baja",'Mapa final GC'!$AL$69="Moderado"),CONCATENATE("R2C",'Mapa final GC'!$S$69),"")</f>
        <v/>
      </c>
      <c r="X61" s="57" t="str">
        <f>IF(AND('Mapa final GC'!$AJ$70="Muy Baja",'Mapa final GC'!$AL$70="Moderado"),CONCATENATE("R2C",'Mapa final GC'!$S$70),"")</f>
        <v/>
      </c>
      <c r="Y61" s="57" t="str">
        <f>IF(AND('Mapa final GC'!$AJ$71="Muy Baja",'Mapa final GC'!$AL$71="Moderado"),CONCATENATE("R2C",'Mapa final GC'!$S$71),"")</f>
        <v/>
      </c>
      <c r="Z61" s="57" t="str">
        <f>IF(AND('Mapa final GC'!$AJ$72="Muy Baja",'Mapa final GC'!$AL$72="Moderado"),CONCATENATE("R2C",'Mapa final GC'!$S$72),"")</f>
        <v/>
      </c>
      <c r="AA61" s="57" t="str">
        <f>IF(AND('Mapa final GC'!$AJ$74="Muy Baja",'Mapa final GC'!$AL$74="Moderado"),CONCATENATE("R2C",'Mapa final GC'!$S$74),"")</f>
        <v/>
      </c>
      <c r="AB61" s="58" t="str">
        <f>IF(AND('Mapa final GC'!$AJ$75="Muy Baja",'Mapa final GC'!$AL$75="Moderado"),CONCATENATE("R2C",'Mapa final GC'!$S$75),"")</f>
        <v/>
      </c>
      <c r="AC61" s="44" t="str">
        <f>IF(AND('Mapa final GC'!$AJ$69="Muy Baja",'Mapa final GC'!$AL$69="Mayor"),CONCATENATE("R2C",'Mapa final GC'!$S$69),"")</f>
        <v/>
      </c>
      <c r="AD61" s="45" t="str">
        <f>IF(AND('Mapa final GC'!$AJ$70="Muy Baja",'Mapa final GC'!$AL$70="Mayor"),CONCATENATE("R2C",'Mapa final GC'!$S$70),"")</f>
        <v/>
      </c>
      <c r="AE61" s="45" t="str">
        <f>IF(AND('Mapa final GC'!$AJ$71="Muy Baja",'Mapa final GC'!$AL$71="Mayor"),CONCATENATE("R2C",'Mapa final GC'!$S$71),"")</f>
        <v/>
      </c>
      <c r="AF61" s="45" t="str">
        <f>IF(AND('Mapa final GC'!$AJ$72="Muy Baja",'Mapa final GC'!$AL$72="Mayor"),CONCATENATE("R2C",'Mapa final GC'!$S$72),"")</f>
        <v/>
      </c>
      <c r="AG61" s="45" t="str">
        <f>IF(AND('Mapa final GC'!$AJ$74="Muy Baja",'Mapa final GC'!$AL$74="Mayor"),CONCATENATE("R2C",'Mapa final GC'!$S$74),"")</f>
        <v/>
      </c>
      <c r="AH61" s="46" t="str">
        <f>IF(AND('Mapa final GC'!$AJ$75="Muy Baja",'Mapa final GC'!$AL$75="Mayor"),CONCATENATE("R2C",'Mapa final GC'!$S$75),"")</f>
        <v/>
      </c>
      <c r="AI61" s="47" t="str">
        <f>IF(AND('Mapa final GC'!$AJ$69="Muy Baja",'Mapa final GC'!$AL$69="Catastrófico"),CONCATENATE("R2C",'Mapa final GC'!$S$69),"")</f>
        <v/>
      </c>
      <c r="AJ61" s="48" t="str">
        <f>IF(AND('Mapa final GC'!$AJ$70="Muy Baja",'Mapa final GC'!$AL$70="Catastrófico"),CONCATENATE("R2C",'Mapa final GC'!$S$70),"")</f>
        <v/>
      </c>
      <c r="AK61" s="48" t="str">
        <f>IF(AND('Mapa final GC'!$AJ$71="Muy Baja",'Mapa final GC'!$AL$71="Catastrófico"),CONCATENATE("R2C",'Mapa final GC'!$S$71),"")</f>
        <v/>
      </c>
      <c r="AL61" s="48" t="str">
        <f>IF(AND('Mapa final GC'!$AJ$72="Muy Baja",'Mapa final GC'!$AL$72="Catastrófico"),CONCATENATE("R2C",'Mapa final GC'!$S$72),"")</f>
        <v/>
      </c>
      <c r="AM61" s="48" t="str">
        <f>IF(AND('Mapa final GC'!$AJ$74="Muy Baja",'Mapa final GC'!$AL$74="Catastrófico"),CONCATENATE("R2C",'Mapa final GC'!$S$74),"")</f>
        <v/>
      </c>
      <c r="AN61" s="49" t="str">
        <f>IF(AND('Mapa final GC'!$AJ$75="Muy Baja",'Mapa final GC'!$AL$75="Catastrófico"),CONCATENATE("R2C",'Mapa final GC'!$S$75),"")</f>
        <v/>
      </c>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row>
    <row r="62" spans="2:81" x14ac:dyDescent="0.25">
      <c r="B62" s="69"/>
      <c r="C62" s="69"/>
      <c r="D62" s="69"/>
      <c r="E62" s="69"/>
      <c r="F62" s="69"/>
      <c r="G62" s="69"/>
      <c r="H62" s="69"/>
      <c r="I62" s="69"/>
      <c r="J62" s="69"/>
      <c r="K62" s="775" t="s">
        <v>110</v>
      </c>
      <c r="L62" s="776"/>
      <c r="M62" s="776"/>
      <c r="N62" s="776"/>
      <c r="O62" s="776"/>
      <c r="P62" s="777"/>
      <c r="Q62" s="775" t="s">
        <v>109</v>
      </c>
      <c r="R62" s="776"/>
      <c r="S62" s="776"/>
      <c r="T62" s="776"/>
      <c r="U62" s="776"/>
      <c r="V62" s="777"/>
      <c r="W62" s="775" t="s">
        <v>108</v>
      </c>
      <c r="X62" s="776"/>
      <c r="Y62" s="776"/>
      <c r="Z62" s="776"/>
      <c r="AA62" s="776"/>
      <c r="AB62" s="777"/>
      <c r="AC62" s="775" t="s">
        <v>107</v>
      </c>
      <c r="AD62" s="825"/>
      <c r="AE62" s="776"/>
      <c r="AF62" s="776"/>
      <c r="AG62" s="776"/>
      <c r="AH62" s="777"/>
      <c r="AI62" s="775" t="s">
        <v>106</v>
      </c>
      <c r="AJ62" s="776"/>
      <c r="AK62" s="776"/>
      <c r="AL62" s="776"/>
      <c r="AM62" s="776"/>
      <c r="AN62" s="777"/>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row>
    <row r="63" spans="2:81" x14ac:dyDescent="0.25">
      <c r="B63" s="69"/>
      <c r="C63" s="69"/>
      <c r="D63" s="69"/>
      <c r="E63" s="69"/>
      <c r="F63" s="69"/>
      <c r="G63" s="69"/>
      <c r="H63" s="69"/>
      <c r="I63" s="69"/>
      <c r="J63" s="69"/>
      <c r="K63" s="778"/>
      <c r="L63" s="779"/>
      <c r="M63" s="779"/>
      <c r="N63" s="779"/>
      <c r="O63" s="779"/>
      <c r="P63" s="780"/>
      <c r="Q63" s="778"/>
      <c r="R63" s="779"/>
      <c r="S63" s="779"/>
      <c r="T63" s="779"/>
      <c r="U63" s="779"/>
      <c r="V63" s="780"/>
      <c r="W63" s="778"/>
      <c r="X63" s="779"/>
      <c r="Y63" s="779"/>
      <c r="Z63" s="779"/>
      <c r="AA63" s="779"/>
      <c r="AB63" s="780"/>
      <c r="AC63" s="778"/>
      <c r="AD63" s="779"/>
      <c r="AE63" s="779"/>
      <c r="AF63" s="779"/>
      <c r="AG63" s="779"/>
      <c r="AH63" s="780"/>
      <c r="AI63" s="778"/>
      <c r="AJ63" s="779"/>
      <c r="AK63" s="779"/>
      <c r="AL63" s="779"/>
      <c r="AM63" s="779"/>
      <c r="AN63" s="780"/>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row>
    <row r="64" spans="2:81" x14ac:dyDescent="0.25">
      <c r="B64" s="69"/>
      <c r="C64" s="69"/>
      <c r="D64" s="69"/>
      <c r="E64" s="69"/>
      <c r="F64" s="69"/>
      <c r="G64" s="69"/>
      <c r="H64" s="69"/>
      <c r="I64" s="69"/>
      <c r="J64" s="69"/>
      <c r="K64" s="778"/>
      <c r="L64" s="779"/>
      <c r="M64" s="779"/>
      <c r="N64" s="779"/>
      <c r="O64" s="779"/>
      <c r="P64" s="780"/>
      <c r="Q64" s="778"/>
      <c r="R64" s="779"/>
      <c r="S64" s="779"/>
      <c r="T64" s="779"/>
      <c r="U64" s="779"/>
      <c r="V64" s="780"/>
      <c r="W64" s="778"/>
      <c r="X64" s="779"/>
      <c r="Y64" s="779"/>
      <c r="Z64" s="779"/>
      <c r="AA64" s="779"/>
      <c r="AB64" s="780"/>
      <c r="AC64" s="778"/>
      <c r="AD64" s="779"/>
      <c r="AE64" s="779"/>
      <c r="AF64" s="779"/>
      <c r="AG64" s="779"/>
      <c r="AH64" s="780"/>
      <c r="AI64" s="778"/>
      <c r="AJ64" s="779"/>
      <c r="AK64" s="779"/>
      <c r="AL64" s="779"/>
      <c r="AM64" s="779"/>
      <c r="AN64" s="780"/>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row>
    <row r="65" spans="2:81" x14ac:dyDescent="0.25">
      <c r="B65" s="69"/>
      <c r="C65" s="69"/>
      <c r="D65" s="69"/>
      <c r="E65" s="69"/>
      <c r="F65" s="69"/>
      <c r="G65" s="69"/>
      <c r="H65" s="69"/>
      <c r="I65" s="69"/>
      <c r="J65" s="69"/>
      <c r="K65" s="778"/>
      <c r="L65" s="779"/>
      <c r="M65" s="779"/>
      <c r="N65" s="779"/>
      <c r="O65" s="779"/>
      <c r="P65" s="780"/>
      <c r="Q65" s="778"/>
      <c r="R65" s="779"/>
      <c r="S65" s="779"/>
      <c r="T65" s="779"/>
      <c r="U65" s="779"/>
      <c r="V65" s="780"/>
      <c r="W65" s="778"/>
      <c r="X65" s="779"/>
      <c r="Y65" s="779"/>
      <c r="Z65" s="779"/>
      <c r="AA65" s="779"/>
      <c r="AB65" s="780"/>
      <c r="AC65" s="778"/>
      <c r="AD65" s="779"/>
      <c r="AE65" s="779"/>
      <c r="AF65" s="779"/>
      <c r="AG65" s="779"/>
      <c r="AH65" s="780"/>
      <c r="AI65" s="778"/>
      <c r="AJ65" s="779"/>
      <c r="AK65" s="779"/>
      <c r="AL65" s="779"/>
      <c r="AM65" s="779"/>
      <c r="AN65" s="780"/>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row>
    <row r="66" spans="2:81" x14ac:dyDescent="0.25">
      <c r="B66" s="69"/>
      <c r="C66" s="69"/>
      <c r="D66" s="69"/>
      <c r="E66" s="69"/>
      <c r="F66" s="69"/>
      <c r="G66" s="69"/>
      <c r="H66" s="69"/>
      <c r="I66" s="69"/>
      <c r="J66" s="69"/>
      <c r="K66" s="778"/>
      <c r="L66" s="779"/>
      <c r="M66" s="779"/>
      <c r="N66" s="779"/>
      <c r="O66" s="779"/>
      <c r="P66" s="780"/>
      <c r="Q66" s="778"/>
      <c r="R66" s="779"/>
      <c r="S66" s="779"/>
      <c r="T66" s="779"/>
      <c r="U66" s="779"/>
      <c r="V66" s="780"/>
      <c r="W66" s="778"/>
      <c r="X66" s="779"/>
      <c r="Y66" s="779"/>
      <c r="Z66" s="779"/>
      <c r="AA66" s="779"/>
      <c r="AB66" s="780"/>
      <c r="AC66" s="778"/>
      <c r="AD66" s="779"/>
      <c r="AE66" s="779"/>
      <c r="AF66" s="779"/>
      <c r="AG66" s="779"/>
      <c r="AH66" s="780"/>
      <c r="AI66" s="778"/>
      <c r="AJ66" s="779"/>
      <c r="AK66" s="779"/>
      <c r="AL66" s="779"/>
      <c r="AM66" s="779"/>
      <c r="AN66" s="780"/>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row>
    <row r="67" spans="2:81" ht="15.75" thickBot="1" x14ac:dyDescent="0.3">
      <c r="B67" s="69"/>
      <c r="C67" s="69"/>
      <c r="D67" s="69"/>
      <c r="E67" s="69"/>
      <c r="F67" s="69"/>
      <c r="G67" s="69"/>
      <c r="H67" s="69"/>
      <c r="I67" s="69"/>
      <c r="J67" s="69"/>
      <c r="K67" s="781"/>
      <c r="L67" s="782"/>
      <c r="M67" s="782"/>
      <c r="N67" s="782"/>
      <c r="O67" s="782"/>
      <c r="P67" s="783"/>
      <c r="Q67" s="781"/>
      <c r="R67" s="782"/>
      <c r="S67" s="782"/>
      <c r="T67" s="782"/>
      <c r="U67" s="782"/>
      <c r="V67" s="783"/>
      <c r="W67" s="781"/>
      <c r="X67" s="782"/>
      <c r="Y67" s="782"/>
      <c r="Z67" s="782"/>
      <c r="AA67" s="782"/>
      <c r="AB67" s="783"/>
      <c r="AC67" s="781"/>
      <c r="AD67" s="782"/>
      <c r="AE67" s="782"/>
      <c r="AF67" s="782"/>
      <c r="AG67" s="782"/>
      <c r="AH67" s="783"/>
      <c r="AI67" s="781"/>
      <c r="AJ67" s="782"/>
      <c r="AK67" s="782"/>
      <c r="AL67" s="782"/>
      <c r="AM67" s="782"/>
      <c r="AN67" s="783"/>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row>
    <row r="68" spans="2:81" x14ac:dyDescent="0.25">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row>
    <row r="69" spans="2:81" ht="15" customHeight="1" x14ac:dyDescent="0.25">
      <c r="B69" s="69"/>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69"/>
      <c r="AW69" s="69"/>
      <c r="AX69" s="69"/>
      <c r="AY69" s="69"/>
      <c r="AZ69" s="69"/>
      <c r="BA69" s="69"/>
      <c r="BB69" s="69"/>
      <c r="BC69" s="69"/>
      <c r="BD69" s="69"/>
      <c r="BE69" s="69"/>
      <c r="BF69" s="69"/>
      <c r="BG69" s="69"/>
      <c r="BH69" s="69"/>
      <c r="BI69" s="69"/>
    </row>
    <row r="70" spans="2:81" ht="15" customHeight="1" x14ac:dyDescent="0.25">
      <c r="B70" s="69"/>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69"/>
      <c r="AW70" s="69"/>
      <c r="AX70" s="69"/>
      <c r="AY70" s="69"/>
      <c r="AZ70" s="69"/>
      <c r="BA70" s="69"/>
      <c r="BB70" s="69"/>
      <c r="BC70" s="69"/>
      <c r="BD70" s="69"/>
      <c r="BE70" s="69"/>
      <c r="BF70" s="69"/>
      <c r="BG70" s="69"/>
      <c r="BH70" s="69"/>
      <c r="BI70" s="69"/>
    </row>
    <row r="71" spans="2:81" x14ac:dyDescent="0.25">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row>
    <row r="72" spans="2:81" x14ac:dyDescent="0.25">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row>
    <row r="73" spans="2:81" x14ac:dyDescent="0.25">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row>
    <row r="74" spans="2:81" x14ac:dyDescent="0.25">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row>
    <row r="75" spans="2:81" x14ac:dyDescent="0.25">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row>
    <row r="76" spans="2:81" x14ac:dyDescent="0.25">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row>
    <row r="77" spans="2:81" x14ac:dyDescent="0.25">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row>
    <row r="78" spans="2:81" x14ac:dyDescent="0.25">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row>
    <row r="79" spans="2:81" x14ac:dyDescent="0.25">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row>
    <row r="80" spans="2:81" x14ac:dyDescent="0.25">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row>
    <row r="81" spans="2:61" x14ac:dyDescent="0.25">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row>
    <row r="82" spans="2:61" x14ac:dyDescent="0.25">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row>
    <row r="83" spans="2:61" x14ac:dyDescent="0.25">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row>
    <row r="84" spans="2:61" x14ac:dyDescent="0.25">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row>
    <row r="85" spans="2:61" x14ac:dyDescent="0.25">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row>
    <row r="86" spans="2:61" x14ac:dyDescent="0.25">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row>
    <row r="87" spans="2:61" x14ac:dyDescent="0.25">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row>
    <row r="88" spans="2:61" x14ac:dyDescent="0.25">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row>
    <row r="89" spans="2:61" x14ac:dyDescent="0.25">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row>
    <row r="90" spans="2:61" x14ac:dyDescent="0.25">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row>
    <row r="91" spans="2:61" x14ac:dyDescent="0.25">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row>
    <row r="92" spans="2:61" x14ac:dyDescent="0.25">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row>
    <row r="93" spans="2:61" x14ac:dyDescent="0.25">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row>
    <row r="94" spans="2:61" x14ac:dyDescent="0.25">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row>
    <row r="95" spans="2:61" x14ac:dyDescent="0.25">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row>
    <row r="96" spans="2:61" x14ac:dyDescent="0.25">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row>
    <row r="97" spans="2:61" x14ac:dyDescent="0.25">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row>
    <row r="98" spans="2:61" x14ac:dyDescent="0.25">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row>
    <row r="99" spans="2:61" x14ac:dyDescent="0.25">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row>
    <row r="100" spans="2:61" x14ac:dyDescent="0.25">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row>
    <row r="101" spans="2:61" x14ac:dyDescent="0.25">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row>
    <row r="102" spans="2:61" x14ac:dyDescent="0.25">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row>
    <row r="103" spans="2:61" x14ac:dyDescent="0.25">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row>
    <row r="104" spans="2:61" x14ac:dyDescent="0.25">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row>
    <row r="105" spans="2:61" x14ac:dyDescent="0.25">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row>
    <row r="106" spans="2:61" x14ac:dyDescent="0.25">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row>
    <row r="107" spans="2:61" x14ac:dyDescent="0.25">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row>
    <row r="108" spans="2:61" x14ac:dyDescent="0.25">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row>
    <row r="109" spans="2:61" x14ac:dyDescent="0.25">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row>
    <row r="110" spans="2:61" x14ac:dyDescent="0.25">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row>
    <row r="111" spans="2:61" x14ac:dyDescent="0.25">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row>
    <row r="112" spans="2:61" x14ac:dyDescent="0.25">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row>
    <row r="113" spans="2:61" x14ac:dyDescent="0.25">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row>
    <row r="114" spans="2:61" x14ac:dyDescent="0.25">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row>
    <row r="115" spans="2:61" x14ac:dyDescent="0.25">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row>
    <row r="116" spans="2:61" x14ac:dyDescent="0.25">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row>
    <row r="117" spans="2:61" x14ac:dyDescent="0.25">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row>
    <row r="118" spans="2:61" x14ac:dyDescent="0.25">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row>
    <row r="119" spans="2:61" x14ac:dyDescent="0.25">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row>
    <row r="120" spans="2:61" x14ac:dyDescent="0.25">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row>
    <row r="121" spans="2:61" x14ac:dyDescent="0.25">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row>
    <row r="122" spans="2:61"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row>
    <row r="123" spans="2:61"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row>
    <row r="124" spans="2:61"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row>
    <row r="125" spans="2:61"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row>
    <row r="126" spans="2:61"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row>
    <row r="127" spans="2:61"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row>
    <row r="128" spans="2:61"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row>
    <row r="129" spans="2:61"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row>
    <row r="130" spans="2:61"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row>
    <row r="131" spans="2:61"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row>
    <row r="132" spans="2:61"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row>
    <row r="133" spans="2:61"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row>
    <row r="134" spans="2:61"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row>
    <row r="135" spans="2:61"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row>
    <row r="136" spans="2:61"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row>
    <row r="137" spans="2:61" x14ac:dyDescent="0.25">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row>
    <row r="138" spans="2:61"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row>
    <row r="139" spans="2:61" x14ac:dyDescent="0.25">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row>
    <row r="140" spans="2:61" x14ac:dyDescent="0.25">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row>
    <row r="141" spans="2:61" x14ac:dyDescent="0.25">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row>
    <row r="142" spans="2:61" x14ac:dyDescent="0.25">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row>
    <row r="143" spans="2:61" x14ac:dyDescent="0.25">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row>
    <row r="144" spans="2:61" x14ac:dyDescent="0.25">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row>
    <row r="145" spans="2:61" x14ac:dyDescent="0.25">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row>
    <row r="146" spans="2:61" x14ac:dyDescent="0.25">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row>
    <row r="147" spans="2:61" x14ac:dyDescent="0.25">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row>
    <row r="148" spans="2:61" x14ac:dyDescent="0.25">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row>
    <row r="149" spans="2:61" x14ac:dyDescent="0.25">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row>
    <row r="150" spans="2:61" x14ac:dyDescent="0.25">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row>
    <row r="151" spans="2:61" x14ac:dyDescent="0.25">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row>
    <row r="152" spans="2:61" x14ac:dyDescent="0.25">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row>
    <row r="153" spans="2:61" x14ac:dyDescent="0.25">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row>
    <row r="154" spans="2:61" x14ac:dyDescent="0.25">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row>
    <row r="155" spans="2:61" x14ac:dyDescent="0.25">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row>
    <row r="156" spans="2:61" x14ac:dyDescent="0.25">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row>
    <row r="157" spans="2:61" x14ac:dyDescent="0.25">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row>
    <row r="158" spans="2:61" x14ac:dyDescent="0.25">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row>
    <row r="159" spans="2:61" x14ac:dyDescent="0.25">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row>
    <row r="160" spans="2:61" x14ac:dyDescent="0.25">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row>
    <row r="161" spans="2:61" x14ac:dyDescent="0.25">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row>
    <row r="162" spans="2:61" x14ac:dyDescent="0.25">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row>
    <row r="163" spans="2:61" x14ac:dyDescent="0.25">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row>
    <row r="164" spans="2:61" x14ac:dyDescent="0.25">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row>
    <row r="165" spans="2:61" x14ac:dyDescent="0.25">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row>
    <row r="166" spans="2:61" x14ac:dyDescent="0.25">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row>
    <row r="167" spans="2:61" x14ac:dyDescent="0.25">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row>
    <row r="168" spans="2:61" x14ac:dyDescent="0.25">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row>
    <row r="169" spans="2:61" x14ac:dyDescent="0.25">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row>
    <row r="170" spans="2:61" x14ac:dyDescent="0.25">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row>
    <row r="171" spans="2:61" x14ac:dyDescent="0.25">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row>
    <row r="172" spans="2:61" x14ac:dyDescent="0.25">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row>
    <row r="173" spans="2:61" x14ac:dyDescent="0.25">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row>
    <row r="174" spans="2:61" x14ac:dyDescent="0.25">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row>
    <row r="175" spans="2:61" x14ac:dyDescent="0.25">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row>
    <row r="176" spans="2:61" x14ac:dyDescent="0.25">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row>
    <row r="177" spans="2:61" x14ac:dyDescent="0.25">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row>
    <row r="178" spans="2:61" x14ac:dyDescent="0.25">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row>
    <row r="179" spans="2:61" x14ac:dyDescent="0.25">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row>
    <row r="180" spans="2:61" x14ac:dyDescent="0.25">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row>
    <row r="181" spans="2:61" x14ac:dyDescent="0.25">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row>
    <row r="182" spans="2:61" x14ac:dyDescent="0.25">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row>
    <row r="183" spans="2:61" x14ac:dyDescent="0.25">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row>
    <row r="184" spans="2:61" x14ac:dyDescent="0.25">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row>
    <row r="185" spans="2:61" x14ac:dyDescent="0.25">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row>
    <row r="186" spans="2:61" x14ac:dyDescent="0.25">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row>
    <row r="187" spans="2:61" x14ac:dyDescent="0.25">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row>
    <row r="188" spans="2:61" x14ac:dyDescent="0.25">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row>
    <row r="189" spans="2:61" x14ac:dyDescent="0.25">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row>
    <row r="190" spans="2:61" x14ac:dyDescent="0.25">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row>
    <row r="191" spans="2:61" x14ac:dyDescent="0.25">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row>
    <row r="192" spans="2:61" x14ac:dyDescent="0.25">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row>
    <row r="193" spans="2:61" x14ac:dyDescent="0.25">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row>
    <row r="194" spans="2:61" x14ac:dyDescent="0.25">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row>
    <row r="195" spans="2:61" x14ac:dyDescent="0.25">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row>
    <row r="196" spans="2:61" x14ac:dyDescent="0.25">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row>
    <row r="197" spans="2:61" x14ac:dyDescent="0.25">
      <c r="B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row>
    <row r="198" spans="2:61" x14ac:dyDescent="0.25">
      <c r="B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row>
    <row r="199" spans="2:61" x14ac:dyDescent="0.25">
      <c r="B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row>
    <row r="200" spans="2:61" x14ac:dyDescent="0.25">
      <c r="B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row>
    <row r="201" spans="2:61" x14ac:dyDescent="0.25">
      <c r="B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row>
    <row r="202" spans="2:61" x14ac:dyDescent="0.25">
      <c r="B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row>
    <row r="203" spans="2:61" x14ac:dyDescent="0.25">
      <c r="B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row>
    <row r="204" spans="2:61" x14ac:dyDescent="0.25">
      <c r="B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row>
    <row r="205" spans="2:61" x14ac:dyDescent="0.25">
      <c r="B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row>
    <row r="206" spans="2:61" x14ac:dyDescent="0.25">
      <c r="B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row>
    <row r="207" spans="2:61" x14ac:dyDescent="0.25">
      <c r="B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row>
    <row r="208" spans="2:61" x14ac:dyDescent="0.25">
      <c r="B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row>
    <row r="209" spans="2:61" x14ac:dyDescent="0.25">
      <c r="B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row>
    <row r="210" spans="2:61" x14ac:dyDescent="0.25">
      <c r="B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row>
    <row r="211" spans="2:61" x14ac:dyDescent="0.25">
      <c r="B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row>
    <row r="212" spans="2:61" x14ac:dyDescent="0.25">
      <c r="B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row>
    <row r="213" spans="2:61" x14ac:dyDescent="0.25">
      <c r="B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row>
    <row r="214" spans="2:61" x14ac:dyDescent="0.25">
      <c r="B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row>
    <row r="215" spans="2:61" x14ac:dyDescent="0.25">
      <c r="B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row>
    <row r="216" spans="2:61" x14ac:dyDescent="0.25">
      <c r="B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row>
    <row r="217" spans="2:61" x14ac:dyDescent="0.25">
      <c r="B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row>
    <row r="218" spans="2:61" x14ac:dyDescent="0.25">
      <c r="B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row>
    <row r="219" spans="2:61" x14ac:dyDescent="0.25">
      <c r="B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row>
    <row r="220" spans="2:61" x14ac:dyDescent="0.25">
      <c r="B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c r="BI220" s="69"/>
    </row>
    <row r="221" spans="2:61" x14ac:dyDescent="0.25">
      <c r="B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row>
    <row r="222" spans="2:61" x14ac:dyDescent="0.25">
      <c r="B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row>
    <row r="223" spans="2:61" x14ac:dyDescent="0.25">
      <c r="B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row>
    <row r="224" spans="2:61" x14ac:dyDescent="0.25">
      <c r="B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c r="BI224" s="69"/>
    </row>
    <row r="225" spans="2:61" x14ac:dyDescent="0.25">
      <c r="B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row>
    <row r="226" spans="2:61" x14ac:dyDescent="0.25">
      <c r="B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row>
    <row r="227" spans="2:61" x14ac:dyDescent="0.25">
      <c r="B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c r="BI227" s="69"/>
    </row>
    <row r="228" spans="2:61" x14ac:dyDescent="0.25">
      <c r="B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c r="BI228" s="69"/>
    </row>
    <row r="229" spans="2:61" x14ac:dyDescent="0.25">
      <c r="B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c r="BI229" s="69"/>
    </row>
    <row r="230" spans="2:61" x14ac:dyDescent="0.25">
      <c r="B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row>
    <row r="231" spans="2:61" x14ac:dyDescent="0.25">
      <c r="B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row>
    <row r="232" spans="2:61" x14ac:dyDescent="0.25">
      <c r="B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row>
    <row r="233" spans="2:61" x14ac:dyDescent="0.25">
      <c r="B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c r="BI233" s="69"/>
    </row>
    <row r="234" spans="2:61" x14ac:dyDescent="0.25">
      <c r="B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c r="BI234" s="69"/>
    </row>
    <row r="235" spans="2:61" x14ac:dyDescent="0.25">
      <c r="B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c r="BI235" s="69"/>
    </row>
    <row r="236" spans="2:61" x14ac:dyDescent="0.25">
      <c r="B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c r="BI236" s="69"/>
    </row>
    <row r="237" spans="2:61" x14ac:dyDescent="0.25">
      <c r="B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c r="BI237" s="69"/>
    </row>
    <row r="238" spans="2:61" x14ac:dyDescent="0.25">
      <c r="B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c r="BI238" s="69"/>
    </row>
    <row r="239" spans="2:61" x14ac:dyDescent="0.25">
      <c r="B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row>
    <row r="240" spans="2:61" x14ac:dyDescent="0.25">
      <c r="B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c r="BI240" s="69"/>
    </row>
    <row r="241" spans="2:61" x14ac:dyDescent="0.25">
      <c r="B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c r="BI241" s="69"/>
    </row>
    <row r="242" spans="2:61" x14ac:dyDescent="0.25">
      <c r="B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c r="BI242" s="69"/>
    </row>
    <row r="243" spans="2:61" x14ac:dyDescent="0.25">
      <c r="B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c r="BI243" s="69"/>
    </row>
    <row r="244" spans="2:61" x14ac:dyDescent="0.25">
      <c r="B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c r="BI244" s="69"/>
    </row>
    <row r="245" spans="2:61" x14ac:dyDescent="0.25">
      <c r="B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row>
    <row r="246" spans="2:61" x14ac:dyDescent="0.25">
      <c r="B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row>
    <row r="247" spans="2:61" x14ac:dyDescent="0.25">
      <c r="B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c r="BG247" s="69"/>
      <c r="BH247" s="69"/>
      <c r="BI247" s="69"/>
    </row>
    <row r="248" spans="2:61" x14ac:dyDescent="0.25">
      <c r="B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row>
    <row r="249" spans="2:61" x14ac:dyDescent="0.25">
      <c r="B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row>
    <row r="250" spans="2:61" x14ac:dyDescent="0.25">
      <c r="B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row>
    <row r="251" spans="2:61" x14ac:dyDescent="0.25">
      <c r="B251" s="69"/>
    </row>
    <row r="252" spans="2:61" x14ac:dyDescent="0.25">
      <c r="B252" s="69"/>
    </row>
    <row r="253" spans="2:61" x14ac:dyDescent="0.25">
      <c r="B253" s="69"/>
    </row>
    <row r="254" spans="2:61" x14ac:dyDescent="0.25">
      <c r="B254" s="69"/>
    </row>
  </sheetData>
  <mergeCells count="24">
    <mergeCell ref="A8:B8"/>
    <mergeCell ref="K62:P67"/>
    <mergeCell ref="Q62:V67"/>
    <mergeCell ref="W62:AB67"/>
    <mergeCell ref="AC62:AH67"/>
    <mergeCell ref="AI62:AN67"/>
    <mergeCell ref="AP22:AU31"/>
    <mergeCell ref="F22:J31"/>
    <mergeCell ref="AP12:AU21"/>
    <mergeCell ref="C8:J10"/>
    <mergeCell ref="K8:AN10"/>
    <mergeCell ref="C12:E61"/>
    <mergeCell ref="F12:J21"/>
    <mergeCell ref="F52:J61"/>
    <mergeCell ref="AP42:AU51"/>
    <mergeCell ref="F42:J51"/>
    <mergeCell ref="AP32:AU41"/>
    <mergeCell ref="F32:J41"/>
    <mergeCell ref="C2:J5"/>
    <mergeCell ref="K2:AN5"/>
    <mergeCell ref="AO2:AU2"/>
    <mergeCell ref="AO3:AU3"/>
    <mergeCell ref="AO4:AU4"/>
    <mergeCell ref="AO5:AU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16A3-BFC2-416A-8CEF-76212CC8DDB3}">
  <sheetPr>
    <tabColor rgb="FF26783C"/>
    <pageSetUpPr fitToPage="1"/>
  </sheetPr>
  <dimension ref="A1:F25"/>
  <sheetViews>
    <sheetView workbookViewId="0">
      <selection activeCell="C10" sqref="C10"/>
    </sheetView>
  </sheetViews>
  <sheetFormatPr baseColWidth="10" defaultColWidth="11.42578125" defaultRowHeight="15" x14ac:dyDescent="0.25"/>
  <cols>
    <col min="1" max="1" width="10.28515625" style="123" customWidth="1"/>
    <col min="2" max="2" width="32.42578125" style="123" customWidth="1"/>
    <col min="3" max="3" width="77" style="123" customWidth="1"/>
    <col min="4" max="4" width="21" style="123" customWidth="1"/>
    <col min="5" max="5" width="23.85546875" style="123" customWidth="1"/>
    <col min="6" max="16384" width="11.42578125" style="123"/>
  </cols>
  <sheetData>
    <row r="1" spans="1:6" ht="7.9" customHeight="1" thickBot="1" x14ac:dyDescent="0.3"/>
    <row r="2" spans="1:6" ht="15.75" customHeight="1" x14ac:dyDescent="0.25">
      <c r="B2" s="826" t="s">
        <v>242</v>
      </c>
      <c r="C2" s="829" t="s">
        <v>203</v>
      </c>
      <c r="D2" s="830"/>
      <c r="E2" s="124" t="s">
        <v>334</v>
      </c>
      <c r="F2" s="125"/>
    </row>
    <row r="3" spans="1:6" ht="15.75" customHeight="1" x14ac:dyDescent="0.25">
      <c r="B3" s="827"/>
      <c r="C3" s="405"/>
      <c r="D3" s="407"/>
      <c r="E3" s="124" t="s">
        <v>262</v>
      </c>
      <c r="F3" s="125"/>
    </row>
    <row r="4" spans="1:6" ht="16.5" customHeight="1" x14ac:dyDescent="0.25">
      <c r="B4" s="827"/>
      <c r="C4" s="405"/>
      <c r="D4" s="407"/>
      <c r="E4" s="124" t="s">
        <v>333</v>
      </c>
      <c r="F4" s="125"/>
    </row>
    <row r="5" spans="1:6" ht="15" customHeight="1" thickBot="1" x14ac:dyDescent="0.3">
      <c r="B5" s="828"/>
      <c r="C5" s="831"/>
      <c r="D5" s="832"/>
      <c r="E5" s="124" t="s">
        <v>243</v>
      </c>
      <c r="F5" s="125"/>
    </row>
    <row r="7" spans="1:6" x14ac:dyDescent="0.25">
      <c r="A7" s="833" t="s">
        <v>264</v>
      </c>
      <c r="B7" s="142" t="s">
        <v>244</v>
      </c>
      <c r="C7" s="143" t="s">
        <v>245</v>
      </c>
      <c r="D7" s="143" t="s">
        <v>246</v>
      </c>
      <c r="E7" s="143" t="s">
        <v>247</v>
      </c>
    </row>
    <row r="8" spans="1:6" ht="28.5" x14ac:dyDescent="0.25">
      <c r="A8" s="833"/>
      <c r="B8" s="126">
        <v>45687</v>
      </c>
      <c r="C8" s="127" t="s">
        <v>387</v>
      </c>
      <c r="D8" s="128" t="s">
        <v>367</v>
      </c>
      <c r="E8" s="128" t="s">
        <v>368</v>
      </c>
    </row>
    <row r="9" spans="1:6" ht="28.5" x14ac:dyDescent="0.25">
      <c r="A9" s="833"/>
      <c r="B9" s="126">
        <v>45777</v>
      </c>
      <c r="C9" s="128" t="s">
        <v>680</v>
      </c>
      <c r="D9" s="128" t="s">
        <v>367</v>
      </c>
      <c r="E9" s="128" t="s">
        <v>368</v>
      </c>
    </row>
    <row r="10" spans="1:6" ht="256.5" x14ac:dyDescent="0.25">
      <c r="A10" s="833"/>
      <c r="B10" s="126">
        <v>45777</v>
      </c>
      <c r="C10" s="128" t="s">
        <v>678</v>
      </c>
      <c r="D10" s="128"/>
      <c r="E10" s="128" t="s">
        <v>679</v>
      </c>
    </row>
    <row r="11" spans="1:6" x14ac:dyDescent="0.25">
      <c r="A11" s="833"/>
      <c r="B11" s="126"/>
      <c r="C11" s="127"/>
      <c r="D11" s="128"/>
      <c r="E11" s="128"/>
    </row>
    <row r="12" spans="1:6" x14ac:dyDescent="0.25">
      <c r="A12" s="833"/>
      <c r="B12" s="126"/>
      <c r="C12" s="127"/>
      <c r="D12" s="128"/>
      <c r="E12" s="128"/>
    </row>
    <row r="13" spans="1:6" x14ac:dyDescent="0.25">
      <c r="A13" s="144"/>
      <c r="B13" s="126"/>
      <c r="C13" s="127"/>
      <c r="D13" s="128"/>
      <c r="E13" s="128"/>
    </row>
    <row r="14" spans="1:6" x14ac:dyDescent="0.25">
      <c r="A14" s="144"/>
      <c r="B14" s="126"/>
      <c r="C14" s="127"/>
      <c r="D14" s="128"/>
      <c r="E14" s="128"/>
    </row>
    <row r="15" spans="1:6" x14ac:dyDescent="0.25">
      <c r="A15" s="144"/>
      <c r="B15" s="126"/>
      <c r="C15" s="127"/>
      <c r="D15" s="128"/>
      <c r="E15" s="128"/>
    </row>
    <row r="16" spans="1:6" x14ac:dyDescent="0.25">
      <c r="A16" s="144"/>
      <c r="B16" s="126"/>
      <c r="C16" s="127"/>
      <c r="D16" s="128"/>
      <c r="E16" s="128"/>
    </row>
    <row r="17" spans="1:5" x14ac:dyDescent="0.25">
      <c r="A17" s="144"/>
      <c r="B17" s="126"/>
      <c r="C17" s="127"/>
      <c r="D17" s="128"/>
      <c r="E17" s="128"/>
    </row>
    <row r="18" spans="1:5" x14ac:dyDescent="0.25">
      <c r="A18" s="144"/>
      <c r="B18" s="126"/>
      <c r="C18" s="127"/>
      <c r="D18" s="128"/>
      <c r="E18" s="128"/>
    </row>
    <row r="19" spans="1:5" x14ac:dyDescent="0.25">
      <c r="B19" s="126"/>
      <c r="C19" s="129"/>
      <c r="D19" s="128"/>
      <c r="E19" s="128"/>
    </row>
    <row r="20" spans="1:5" x14ac:dyDescent="0.25">
      <c r="B20" s="126"/>
      <c r="C20" s="127"/>
      <c r="D20" s="128"/>
      <c r="E20" s="128"/>
    </row>
    <row r="25" spans="1:5" x14ac:dyDescent="0.25">
      <c r="C25" s="130"/>
    </row>
  </sheetData>
  <mergeCells count="3">
    <mergeCell ref="B2:B5"/>
    <mergeCell ref="C2:D5"/>
    <mergeCell ref="A7:A12"/>
  </mergeCells>
  <pageMargins left="0.7" right="0.7" top="0.75" bottom="0.75" header="0.3" footer="0.3"/>
  <pageSetup scale="6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6B74-ADCA-4D45-89D2-2E16E9989916}">
  <dimension ref="A1"/>
  <sheetViews>
    <sheetView topLeftCell="A46" workbookViewId="0">
      <selection activeCell="C28" sqref="C28"/>
    </sheetView>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45"/>
  <sheetViews>
    <sheetView zoomScale="80" zoomScaleNormal="80" workbookViewId="0">
      <selection activeCell="K10" sqref="K10"/>
    </sheetView>
  </sheetViews>
  <sheetFormatPr baseColWidth="10" defaultColWidth="11.42578125" defaultRowHeight="15" x14ac:dyDescent="0.25"/>
  <cols>
    <col min="1" max="1" width="2.85546875" style="69" customWidth="1"/>
    <col min="2" max="3" width="24.7109375" style="69" customWidth="1"/>
    <col min="4" max="4" width="16" style="69" customWidth="1"/>
    <col min="5" max="5" width="24.7109375" style="69" customWidth="1"/>
    <col min="6" max="6" width="27.7109375" style="69" customWidth="1"/>
    <col min="7" max="8" width="24.7109375" style="69" customWidth="1"/>
    <col min="9" max="10" width="11.42578125" style="150"/>
    <col min="11" max="16384" width="11.42578125" style="69"/>
  </cols>
  <sheetData>
    <row r="1" spans="2:10" ht="15.75" thickBot="1" x14ac:dyDescent="0.3"/>
    <row r="2" spans="2:10" ht="18" customHeight="1" x14ac:dyDescent="0.25">
      <c r="B2" s="851" t="s">
        <v>161</v>
      </c>
      <c r="C2" s="852"/>
      <c r="D2" s="852"/>
      <c r="E2" s="852"/>
      <c r="F2" s="852"/>
      <c r="G2" s="852"/>
      <c r="H2" s="853"/>
      <c r="J2" s="151" t="s">
        <v>272</v>
      </c>
    </row>
    <row r="3" spans="2:10" ht="20.25" x14ac:dyDescent="0.25">
      <c r="B3" s="70"/>
      <c r="C3" s="71"/>
      <c r="D3" s="71"/>
      <c r="E3" s="71"/>
      <c r="F3" s="71"/>
      <c r="G3" s="71"/>
      <c r="H3" s="72"/>
      <c r="J3" s="151"/>
    </row>
    <row r="4" spans="2:10" ht="63" customHeight="1" x14ac:dyDescent="0.25">
      <c r="B4" s="854" t="s">
        <v>303</v>
      </c>
      <c r="C4" s="855"/>
      <c r="D4" s="855"/>
      <c r="E4" s="855"/>
      <c r="F4" s="855"/>
      <c r="G4" s="855"/>
      <c r="H4" s="856"/>
    </row>
    <row r="5" spans="2:10" ht="63" customHeight="1" x14ac:dyDescent="0.25">
      <c r="B5" s="857"/>
      <c r="C5" s="858"/>
      <c r="D5" s="858"/>
      <c r="E5" s="858"/>
      <c r="F5" s="858"/>
      <c r="G5" s="858"/>
      <c r="H5" s="859"/>
    </row>
    <row r="6" spans="2:10" ht="16.5" x14ac:dyDescent="0.25">
      <c r="B6" s="860" t="s">
        <v>159</v>
      </c>
      <c r="C6" s="861"/>
      <c r="D6" s="861"/>
      <c r="E6" s="861"/>
      <c r="F6" s="861"/>
      <c r="G6" s="861"/>
      <c r="H6" s="862"/>
    </row>
    <row r="7" spans="2:10" ht="95.25" customHeight="1" x14ac:dyDescent="0.25">
      <c r="B7" s="870" t="s">
        <v>164</v>
      </c>
      <c r="C7" s="871"/>
      <c r="D7" s="871"/>
      <c r="E7" s="871"/>
      <c r="F7" s="871"/>
      <c r="G7" s="871"/>
      <c r="H7" s="872"/>
    </row>
    <row r="8" spans="2:10" ht="16.5" x14ac:dyDescent="0.25">
      <c r="B8" s="106"/>
      <c r="C8" s="107"/>
      <c r="D8" s="107"/>
      <c r="E8" s="107"/>
      <c r="F8" s="107"/>
      <c r="G8" s="107"/>
      <c r="H8" s="108"/>
    </row>
    <row r="9" spans="2:10" ht="16.5" customHeight="1" x14ac:dyDescent="0.25">
      <c r="B9" s="863" t="s">
        <v>291</v>
      </c>
      <c r="C9" s="864"/>
      <c r="D9" s="864"/>
      <c r="E9" s="864"/>
      <c r="F9" s="864"/>
      <c r="G9" s="864"/>
      <c r="H9" s="865"/>
    </row>
    <row r="10" spans="2:10" ht="44.25" customHeight="1" x14ac:dyDescent="0.25">
      <c r="B10" s="863"/>
      <c r="C10" s="864"/>
      <c r="D10" s="864"/>
      <c r="E10" s="864"/>
      <c r="F10" s="864"/>
      <c r="G10" s="864"/>
      <c r="H10" s="865"/>
    </row>
    <row r="11" spans="2:10" ht="15.75" thickBot="1" x14ac:dyDescent="0.3">
      <c r="B11" s="95"/>
      <c r="C11" s="98"/>
      <c r="D11" s="103"/>
      <c r="E11" s="104"/>
      <c r="F11" s="104"/>
      <c r="G11" s="105"/>
      <c r="H11" s="99"/>
    </row>
    <row r="12" spans="2:10" ht="15.75" thickTop="1" x14ac:dyDescent="0.25">
      <c r="B12" s="95"/>
      <c r="C12" s="866" t="s">
        <v>160</v>
      </c>
      <c r="D12" s="867"/>
      <c r="E12" s="868" t="s">
        <v>197</v>
      </c>
      <c r="F12" s="869"/>
      <c r="G12" s="98"/>
      <c r="H12" s="99"/>
    </row>
    <row r="13" spans="2:10" ht="35.25" customHeight="1" x14ac:dyDescent="0.25">
      <c r="B13" s="95"/>
      <c r="C13" s="838" t="s">
        <v>191</v>
      </c>
      <c r="D13" s="839"/>
      <c r="E13" s="840" t="s">
        <v>196</v>
      </c>
      <c r="F13" s="841"/>
      <c r="G13" s="98"/>
      <c r="H13" s="99"/>
    </row>
    <row r="14" spans="2:10" ht="17.25" customHeight="1" x14ac:dyDescent="0.25">
      <c r="B14" s="95"/>
      <c r="C14" s="838" t="s">
        <v>192</v>
      </c>
      <c r="D14" s="839"/>
      <c r="E14" s="840" t="s">
        <v>194</v>
      </c>
      <c r="F14" s="841"/>
      <c r="G14" s="98"/>
      <c r="H14" s="99"/>
    </row>
    <row r="15" spans="2:10" ht="19.5" customHeight="1" x14ac:dyDescent="0.25">
      <c r="B15" s="95"/>
      <c r="C15" s="838" t="s">
        <v>193</v>
      </c>
      <c r="D15" s="839"/>
      <c r="E15" s="840" t="s">
        <v>195</v>
      </c>
      <c r="F15" s="841"/>
      <c r="G15" s="98"/>
      <c r="H15" s="99"/>
    </row>
    <row r="16" spans="2:10" ht="69.75" customHeight="1" x14ac:dyDescent="0.25">
      <c r="B16" s="95"/>
      <c r="C16" s="838" t="s">
        <v>162</v>
      </c>
      <c r="D16" s="839"/>
      <c r="E16" s="840" t="s">
        <v>163</v>
      </c>
      <c r="F16" s="841"/>
      <c r="G16" s="98"/>
      <c r="H16" s="99"/>
    </row>
    <row r="17" spans="2:8" ht="34.5" customHeight="1" x14ac:dyDescent="0.25">
      <c r="B17" s="95"/>
      <c r="C17" s="842" t="s">
        <v>2</v>
      </c>
      <c r="D17" s="843"/>
      <c r="E17" s="834" t="s">
        <v>198</v>
      </c>
      <c r="F17" s="835"/>
      <c r="G17" s="98"/>
      <c r="H17" s="99"/>
    </row>
    <row r="18" spans="2:8" ht="27.75" customHeight="1" x14ac:dyDescent="0.25">
      <c r="B18" s="95"/>
      <c r="C18" s="842" t="s">
        <v>3</v>
      </c>
      <c r="D18" s="843"/>
      <c r="E18" s="834" t="s">
        <v>199</v>
      </c>
      <c r="F18" s="835"/>
      <c r="G18" s="98"/>
      <c r="H18" s="99"/>
    </row>
    <row r="19" spans="2:8" ht="28.5" customHeight="1" x14ac:dyDescent="0.25">
      <c r="B19" s="95"/>
      <c r="C19" s="842" t="s">
        <v>40</v>
      </c>
      <c r="D19" s="843"/>
      <c r="E19" s="834" t="s">
        <v>200</v>
      </c>
      <c r="F19" s="835"/>
      <c r="G19" s="98"/>
      <c r="H19" s="99"/>
    </row>
    <row r="20" spans="2:8" ht="72.75" customHeight="1" x14ac:dyDescent="0.25">
      <c r="B20" s="95"/>
      <c r="C20" s="842" t="s">
        <v>1</v>
      </c>
      <c r="D20" s="843"/>
      <c r="E20" s="834" t="s">
        <v>201</v>
      </c>
      <c r="F20" s="835"/>
      <c r="G20" s="98"/>
      <c r="H20" s="99"/>
    </row>
    <row r="21" spans="2:8" ht="64.5" customHeight="1" x14ac:dyDescent="0.25">
      <c r="B21" s="95"/>
      <c r="C21" s="842" t="s">
        <v>48</v>
      </c>
      <c r="D21" s="843"/>
      <c r="E21" s="834" t="s">
        <v>166</v>
      </c>
      <c r="F21" s="835"/>
      <c r="G21" s="98"/>
      <c r="H21" s="99"/>
    </row>
    <row r="22" spans="2:8" ht="71.25" customHeight="1" x14ac:dyDescent="0.25">
      <c r="B22" s="95"/>
      <c r="C22" s="842" t="s">
        <v>165</v>
      </c>
      <c r="D22" s="843"/>
      <c r="E22" s="834" t="s">
        <v>167</v>
      </c>
      <c r="F22" s="835"/>
      <c r="G22" s="98"/>
      <c r="H22" s="99"/>
    </row>
    <row r="23" spans="2:8" ht="55.5" customHeight="1" x14ac:dyDescent="0.25">
      <c r="B23" s="95"/>
      <c r="C23" s="836" t="s">
        <v>168</v>
      </c>
      <c r="D23" s="837"/>
      <c r="E23" s="834" t="s">
        <v>169</v>
      </c>
      <c r="F23" s="835"/>
      <c r="G23" s="98"/>
      <c r="H23" s="99"/>
    </row>
    <row r="24" spans="2:8" ht="42" customHeight="1" x14ac:dyDescent="0.25">
      <c r="B24" s="95"/>
      <c r="C24" s="836" t="s">
        <v>46</v>
      </c>
      <c r="D24" s="837"/>
      <c r="E24" s="834" t="s">
        <v>170</v>
      </c>
      <c r="F24" s="835"/>
      <c r="G24" s="98"/>
      <c r="H24" s="99"/>
    </row>
    <row r="25" spans="2:8" ht="59.25" customHeight="1" x14ac:dyDescent="0.25">
      <c r="B25" s="95"/>
      <c r="C25" s="836" t="s">
        <v>158</v>
      </c>
      <c r="D25" s="837"/>
      <c r="E25" s="834" t="s">
        <v>171</v>
      </c>
      <c r="F25" s="835"/>
      <c r="G25" s="98"/>
      <c r="H25" s="99"/>
    </row>
    <row r="26" spans="2:8" ht="23.25" customHeight="1" x14ac:dyDescent="0.25">
      <c r="B26" s="95"/>
      <c r="C26" s="836" t="s">
        <v>11</v>
      </c>
      <c r="D26" s="837"/>
      <c r="E26" s="834" t="s">
        <v>172</v>
      </c>
      <c r="F26" s="835"/>
      <c r="G26" s="98"/>
      <c r="H26" s="99"/>
    </row>
    <row r="27" spans="2:8" ht="30.75" customHeight="1" x14ac:dyDescent="0.25">
      <c r="B27" s="95"/>
      <c r="C27" s="836" t="s">
        <v>176</v>
      </c>
      <c r="D27" s="837"/>
      <c r="E27" s="834" t="s">
        <v>173</v>
      </c>
      <c r="F27" s="835"/>
      <c r="G27" s="98"/>
      <c r="H27" s="99"/>
    </row>
    <row r="28" spans="2:8" ht="35.25" customHeight="1" x14ac:dyDescent="0.25">
      <c r="B28" s="95"/>
      <c r="C28" s="836" t="s">
        <v>177</v>
      </c>
      <c r="D28" s="837"/>
      <c r="E28" s="834" t="s">
        <v>174</v>
      </c>
      <c r="F28" s="835"/>
      <c r="G28" s="98"/>
      <c r="H28" s="99"/>
    </row>
    <row r="29" spans="2:8" ht="33" customHeight="1" x14ac:dyDescent="0.25">
      <c r="B29" s="95"/>
      <c r="C29" s="836" t="s">
        <v>177</v>
      </c>
      <c r="D29" s="837"/>
      <c r="E29" s="834" t="s">
        <v>174</v>
      </c>
      <c r="F29" s="835"/>
      <c r="G29" s="98"/>
      <c r="H29" s="99"/>
    </row>
    <row r="30" spans="2:8" ht="30" customHeight="1" x14ac:dyDescent="0.25">
      <c r="B30" s="95"/>
      <c r="C30" s="836" t="s">
        <v>178</v>
      </c>
      <c r="D30" s="837"/>
      <c r="E30" s="834" t="s">
        <v>175</v>
      </c>
      <c r="F30" s="835"/>
      <c r="G30" s="98"/>
      <c r="H30" s="99"/>
    </row>
    <row r="31" spans="2:8" ht="35.25" customHeight="1" x14ac:dyDescent="0.25">
      <c r="B31" s="95"/>
      <c r="C31" s="836" t="s">
        <v>179</v>
      </c>
      <c r="D31" s="837"/>
      <c r="E31" s="834" t="s">
        <v>180</v>
      </c>
      <c r="F31" s="835"/>
      <c r="G31" s="98"/>
      <c r="H31" s="99"/>
    </row>
    <row r="32" spans="2:8" ht="31.5" customHeight="1" x14ac:dyDescent="0.25">
      <c r="B32" s="95"/>
      <c r="C32" s="836" t="s">
        <v>181</v>
      </c>
      <c r="D32" s="837"/>
      <c r="E32" s="834" t="s">
        <v>182</v>
      </c>
      <c r="F32" s="835"/>
      <c r="G32" s="98"/>
      <c r="H32" s="99"/>
    </row>
    <row r="33" spans="2:8" ht="35.25" customHeight="1" x14ac:dyDescent="0.25">
      <c r="B33" s="95"/>
      <c r="C33" s="836" t="s">
        <v>183</v>
      </c>
      <c r="D33" s="837"/>
      <c r="E33" s="834" t="s">
        <v>184</v>
      </c>
      <c r="F33" s="835"/>
      <c r="G33" s="98"/>
      <c r="H33" s="99"/>
    </row>
    <row r="34" spans="2:8" ht="59.25" customHeight="1" x14ac:dyDescent="0.25">
      <c r="B34" s="95"/>
      <c r="C34" s="836" t="s">
        <v>185</v>
      </c>
      <c r="D34" s="837"/>
      <c r="E34" s="834" t="s">
        <v>186</v>
      </c>
      <c r="F34" s="835"/>
      <c r="G34" s="98"/>
      <c r="H34" s="99"/>
    </row>
    <row r="35" spans="2:8" ht="29.25" customHeight="1" x14ac:dyDescent="0.25">
      <c r="B35" s="95"/>
      <c r="C35" s="836" t="s">
        <v>28</v>
      </c>
      <c r="D35" s="837"/>
      <c r="E35" s="834" t="s">
        <v>187</v>
      </c>
      <c r="F35" s="835"/>
      <c r="G35" s="98"/>
      <c r="H35" s="99"/>
    </row>
    <row r="36" spans="2:8" ht="82.5" customHeight="1" x14ac:dyDescent="0.25">
      <c r="B36" s="95"/>
      <c r="C36" s="836" t="s">
        <v>189</v>
      </c>
      <c r="D36" s="837"/>
      <c r="E36" s="834" t="s">
        <v>188</v>
      </c>
      <c r="F36" s="835"/>
      <c r="G36" s="98"/>
      <c r="H36" s="99"/>
    </row>
    <row r="37" spans="2:8" ht="46.5" customHeight="1" x14ac:dyDescent="0.25">
      <c r="B37" s="95"/>
      <c r="C37" s="836" t="s">
        <v>37</v>
      </c>
      <c r="D37" s="837"/>
      <c r="E37" s="834" t="s">
        <v>190</v>
      </c>
      <c r="F37" s="835"/>
      <c r="G37" s="98"/>
      <c r="H37" s="99"/>
    </row>
    <row r="38" spans="2:8" ht="6.75" customHeight="1" thickBot="1" x14ac:dyDescent="0.3">
      <c r="B38" s="95"/>
      <c r="C38" s="847"/>
      <c r="D38" s="848"/>
      <c r="E38" s="849"/>
      <c r="F38" s="850"/>
      <c r="G38" s="98"/>
      <c r="H38" s="99"/>
    </row>
    <row r="39" spans="2:8" ht="15.75" thickTop="1" x14ac:dyDescent="0.25">
      <c r="B39" s="95"/>
      <c r="C39" s="96"/>
      <c r="D39" s="96"/>
      <c r="E39" s="97"/>
      <c r="F39" s="97"/>
      <c r="G39" s="98"/>
      <c r="H39" s="99"/>
    </row>
    <row r="40" spans="2:8" ht="21" customHeight="1" x14ac:dyDescent="0.25">
      <c r="B40" s="844" t="s">
        <v>292</v>
      </c>
      <c r="C40" s="845"/>
      <c r="D40" s="845"/>
      <c r="E40" s="845"/>
      <c r="F40" s="845"/>
      <c r="G40" s="845"/>
      <c r="H40" s="846"/>
    </row>
    <row r="41" spans="2:8" ht="20.25" customHeight="1" x14ac:dyDescent="0.25">
      <c r="B41" s="844" t="s">
        <v>293</v>
      </c>
      <c r="C41" s="845"/>
      <c r="D41" s="845"/>
      <c r="E41" s="845"/>
      <c r="F41" s="845"/>
      <c r="G41" s="845"/>
      <c r="H41" s="846"/>
    </row>
    <row r="42" spans="2:8" ht="20.25" customHeight="1" x14ac:dyDescent="0.25">
      <c r="B42" s="844" t="s">
        <v>294</v>
      </c>
      <c r="C42" s="845"/>
      <c r="D42" s="845"/>
      <c r="E42" s="845"/>
      <c r="F42" s="845"/>
      <c r="G42" s="845"/>
      <c r="H42" s="846"/>
    </row>
    <row r="43" spans="2:8" ht="20.25" customHeight="1" x14ac:dyDescent="0.25">
      <c r="B43" s="844" t="s">
        <v>295</v>
      </c>
      <c r="C43" s="845"/>
      <c r="D43" s="845"/>
      <c r="E43" s="845"/>
      <c r="F43" s="845"/>
      <c r="G43" s="845"/>
      <c r="H43" s="846"/>
    </row>
    <row r="44" spans="2:8" ht="15" customHeight="1" x14ac:dyDescent="0.25">
      <c r="B44" s="844" t="s">
        <v>296</v>
      </c>
      <c r="C44" s="845"/>
      <c r="D44" s="845"/>
      <c r="E44" s="845"/>
      <c r="F44" s="845"/>
      <c r="G44" s="845"/>
      <c r="H44" s="846"/>
    </row>
    <row r="45" spans="2:8" ht="15.75" thickBot="1" x14ac:dyDescent="0.3">
      <c r="B45" s="100"/>
      <c r="C45" s="101"/>
      <c r="D45" s="101"/>
      <c r="E45" s="101"/>
      <c r="F45" s="101"/>
      <c r="G45" s="101"/>
      <c r="H45" s="102"/>
    </row>
  </sheetData>
  <mergeCells count="64">
    <mergeCell ref="B2:H2"/>
    <mergeCell ref="B4:H5"/>
    <mergeCell ref="B6:H6"/>
    <mergeCell ref="B9:H10"/>
    <mergeCell ref="C12:D12"/>
    <mergeCell ref="E12:F12"/>
    <mergeCell ref="B7:H7"/>
    <mergeCell ref="C13:D13"/>
    <mergeCell ref="E13:F13"/>
    <mergeCell ref="C17:D17"/>
    <mergeCell ref="E17:F17"/>
    <mergeCell ref="C21:D21"/>
    <mergeCell ref="C18:D18"/>
    <mergeCell ref="C19:D19"/>
    <mergeCell ref="C20:D20"/>
    <mergeCell ref="E18:F18"/>
    <mergeCell ref="E19:F19"/>
    <mergeCell ref="E20:F20"/>
    <mergeCell ref="E21:F21"/>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33:D33"/>
    <mergeCell ref="B40:H40"/>
    <mergeCell ref="C29:D29"/>
    <mergeCell ref="E29:F29"/>
    <mergeCell ref="C30:D30"/>
    <mergeCell ref="E30:F30"/>
    <mergeCell ref="E33:F33"/>
    <mergeCell ref="C34:D34"/>
    <mergeCell ref="C35:D35"/>
    <mergeCell ref="E35:F35"/>
    <mergeCell ref="C36:D36"/>
    <mergeCell ref="E36:F36"/>
    <mergeCell ref="B41:H41"/>
    <mergeCell ref="C38:D38"/>
    <mergeCell ref="E38:F38"/>
    <mergeCell ref="C37:D37"/>
    <mergeCell ref="E37:F37"/>
    <mergeCell ref="E28:F28"/>
    <mergeCell ref="C28:D28"/>
    <mergeCell ref="C16:D16"/>
    <mergeCell ref="E16:F16"/>
    <mergeCell ref="C14:D14"/>
    <mergeCell ref="E14:F14"/>
    <mergeCell ref="C15:D15"/>
    <mergeCell ref="E15:F15"/>
    <mergeCell ref="E22:F22"/>
    <mergeCell ref="C22:D22"/>
    <mergeCell ref="C25:D25"/>
    <mergeCell ref="E25:F2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23AD-D0F9-4C40-A8DE-4FB1E3367B36}">
  <dimension ref="A1"/>
  <sheetViews>
    <sheetView workbookViewId="0">
      <selection activeCell="A2" sqref="A2"/>
    </sheetView>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
  <sheetViews>
    <sheetView workbookViewId="0">
      <selection activeCell="B15" sqref="B15"/>
    </sheetView>
  </sheetViews>
  <sheetFormatPr baseColWidth="10" defaultRowHeight="15" x14ac:dyDescent="0.25"/>
  <sheetData>
    <row r="1" spans="1:4" x14ac:dyDescent="0.25">
      <c r="A1" t="s">
        <v>213</v>
      </c>
      <c r="B1" t="s">
        <v>222</v>
      </c>
      <c r="C1" t="s">
        <v>228</v>
      </c>
      <c r="D1" t="s">
        <v>237</v>
      </c>
    </row>
    <row r="2" spans="1:4" x14ac:dyDescent="0.25">
      <c r="A2" t="s">
        <v>221</v>
      </c>
      <c r="B2" t="s">
        <v>223</v>
      </c>
      <c r="C2" t="s">
        <v>229</v>
      </c>
      <c r="D2" t="s">
        <v>234</v>
      </c>
    </row>
    <row r="3" spans="1:4" x14ac:dyDescent="0.25">
      <c r="A3" t="s">
        <v>214</v>
      </c>
      <c r="B3" t="s">
        <v>216</v>
      </c>
      <c r="C3" t="s">
        <v>230</v>
      </c>
      <c r="D3" t="s">
        <v>235</v>
      </c>
    </row>
    <row r="4" spans="1:4" x14ac:dyDescent="0.25">
      <c r="A4" t="s">
        <v>215</v>
      </c>
      <c r="B4" t="s">
        <v>224</v>
      </c>
      <c r="C4" t="s">
        <v>231</v>
      </c>
      <c r="D4" t="s">
        <v>236</v>
      </c>
    </row>
    <row r="5" spans="1:4" x14ac:dyDescent="0.25">
      <c r="A5" t="s">
        <v>216</v>
      </c>
      <c r="B5" t="s">
        <v>225</v>
      </c>
      <c r="C5" t="s">
        <v>232</v>
      </c>
      <c r="D5" t="s">
        <v>233</v>
      </c>
    </row>
    <row r="6" spans="1:4" x14ac:dyDescent="0.25">
      <c r="A6" t="s">
        <v>217</v>
      </c>
      <c r="B6" t="s">
        <v>226</v>
      </c>
      <c r="C6" t="s">
        <v>233</v>
      </c>
    </row>
    <row r="7" spans="1:4" x14ac:dyDescent="0.25">
      <c r="A7" t="s">
        <v>218</v>
      </c>
      <c r="B7" t="s">
        <v>227</v>
      </c>
    </row>
    <row r="8" spans="1:4" x14ac:dyDescent="0.25">
      <c r="A8" t="s">
        <v>219</v>
      </c>
    </row>
    <row r="9" spans="1:4" x14ac:dyDescent="0.25">
      <c r="A9" t="s">
        <v>220</v>
      </c>
    </row>
  </sheetData>
  <sheetProtection algorithmName="SHA-512" hashValue="v7i/xahZG2C7t5BslLITKnVU2aeqZ2qUUc7D3ggQN7269OWOf4ZVULOvpishKqJW79vwiv5Gp2BFg470cY4dqQ==" saltValue="yCXLobWCYjK/kLc7JEpQf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05CF-70CE-455B-A0D2-D128EF36312F}">
  <dimension ref="B1:L26"/>
  <sheetViews>
    <sheetView showGridLines="0" view="pageBreakPreview" zoomScaleNormal="100" zoomScaleSheetLayoutView="100" workbookViewId="0">
      <selection activeCell="B2" sqref="B2:K5"/>
    </sheetView>
  </sheetViews>
  <sheetFormatPr baseColWidth="10" defaultColWidth="11.42578125" defaultRowHeight="15" x14ac:dyDescent="0.25"/>
  <cols>
    <col min="1" max="1" width="2.5703125" style="69" customWidth="1"/>
    <col min="2" max="2" width="33.28515625" style="69" customWidth="1"/>
    <col min="3" max="4" width="11.42578125" style="69"/>
    <col min="5" max="5" width="5.7109375" style="69" customWidth="1"/>
    <col min="6" max="6" width="16.28515625" style="69" customWidth="1"/>
    <col min="7" max="7" width="11.42578125" style="69"/>
    <col min="8" max="8" width="13.85546875" style="69" customWidth="1"/>
    <col min="9" max="9" width="14.140625" style="69" customWidth="1"/>
    <col min="10" max="10" width="14.85546875" style="69" customWidth="1"/>
    <col min="11" max="11" width="7.5703125" style="69" customWidth="1"/>
    <col min="12" max="12" width="2.140625" style="69" customWidth="1"/>
    <col min="13" max="16384" width="11.42578125" style="69"/>
  </cols>
  <sheetData>
    <row r="1" spans="2:11" ht="6" customHeight="1" thickBot="1" x14ac:dyDescent="0.3"/>
    <row r="2" spans="2:11" ht="15" customHeight="1" x14ac:dyDescent="0.25">
      <c r="B2" s="910" t="s">
        <v>249</v>
      </c>
      <c r="C2" s="911" t="s">
        <v>203</v>
      </c>
      <c r="D2" s="912"/>
      <c r="E2" s="912"/>
      <c r="F2" s="912"/>
      <c r="G2" s="912"/>
      <c r="H2" s="912"/>
      <c r="I2" s="912"/>
      <c r="J2" s="445" t="s">
        <v>248</v>
      </c>
      <c r="K2" s="418"/>
    </row>
    <row r="3" spans="2:11" ht="15" customHeight="1" x14ac:dyDescent="0.25">
      <c r="B3" s="827"/>
      <c r="C3" s="913"/>
      <c r="D3" s="914"/>
      <c r="E3" s="914"/>
      <c r="F3" s="914"/>
      <c r="G3" s="914"/>
      <c r="H3" s="914"/>
      <c r="I3" s="914"/>
      <c r="J3" s="446" t="s">
        <v>262</v>
      </c>
      <c r="K3" s="420"/>
    </row>
    <row r="4" spans="2:11" ht="15" customHeight="1" x14ac:dyDescent="0.25">
      <c r="B4" s="827"/>
      <c r="C4" s="913"/>
      <c r="D4" s="914"/>
      <c r="E4" s="914"/>
      <c r="F4" s="914"/>
      <c r="G4" s="914"/>
      <c r="H4" s="914"/>
      <c r="I4" s="914"/>
      <c r="J4" s="446" t="s">
        <v>261</v>
      </c>
      <c r="K4" s="420" t="s">
        <v>261</v>
      </c>
    </row>
    <row r="5" spans="2:11" ht="15" customHeight="1" thickBot="1" x14ac:dyDescent="0.3">
      <c r="B5" s="828"/>
      <c r="C5" s="915"/>
      <c r="D5" s="916"/>
      <c r="E5" s="916"/>
      <c r="F5" s="916"/>
      <c r="G5" s="916"/>
      <c r="H5" s="916"/>
      <c r="I5" s="916"/>
      <c r="J5" s="447" t="s">
        <v>243</v>
      </c>
      <c r="K5" s="422" t="s">
        <v>243</v>
      </c>
    </row>
    <row r="6" spans="2:11" ht="15.75" thickBot="1" x14ac:dyDescent="0.3"/>
    <row r="7" spans="2:11" customFormat="1" ht="15.75" thickBot="1" x14ac:dyDescent="0.3">
      <c r="B7" s="904" t="s">
        <v>244</v>
      </c>
      <c r="C7" s="905"/>
      <c r="D7" s="906" t="s">
        <v>250</v>
      </c>
      <c r="E7" s="907"/>
      <c r="F7" s="906" t="s">
        <v>251</v>
      </c>
      <c r="G7" s="908"/>
      <c r="H7" s="908"/>
      <c r="I7" s="908"/>
      <c r="J7" s="908"/>
      <c r="K7" s="909"/>
    </row>
    <row r="8" spans="2:11" customFormat="1" ht="18" customHeight="1" thickBot="1" x14ac:dyDescent="0.3">
      <c r="B8" s="875"/>
      <c r="C8" s="876"/>
      <c r="D8" s="877">
        <v>1</v>
      </c>
      <c r="E8" s="878"/>
      <c r="F8" s="873"/>
      <c r="G8" s="873"/>
      <c r="H8" s="873"/>
      <c r="I8" s="873"/>
      <c r="J8" s="873"/>
      <c r="K8" s="874"/>
    </row>
    <row r="9" spans="2:11" customFormat="1" ht="18" customHeight="1" thickBot="1" x14ac:dyDescent="0.3">
      <c r="B9" s="875"/>
      <c r="C9" s="876"/>
      <c r="D9" s="877">
        <v>2</v>
      </c>
      <c r="E9" s="878"/>
      <c r="F9" s="873"/>
      <c r="G9" s="873"/>
      <c r="H9" s="873"/>
      <c r="I9" s="873"/>
      <c r="J9" s="873"/>
      <c r="K9" s="874"/>
    </row>
    <row r="10" spans="2:11" customFormat="1" ht="18" customHeight="1" thickBot="1" x14ac:dyDescent="0.3">
      <c r="B10" s="875"/>
      <c r="C10" s="876"/>
      <c r="D10" s="877">
        <v>3</v>
      </c>
      <c r="E10" s="878"/>
      <c r="F10" s="873"/>
      <c r="G10" s="873"/>
      <c r="H10" s="873"/>
      <c r="I10" s="873"/>
      <c r="J10" s="873"/>
      <c r="K10" s="874"/>
    </row>
    <row r="11" spans="2:11" customFormat="1" ht="18" customHeight="1" thickBot="1" x14ac:dyDescent="0.3">
      <c r="B11" s="875"/>
      <c r="C11" s="876"/>
      <c r="D11" s="877">
        <v>4</v>
      </c>
      <c r="E11" s="878"/>
      <c r="F11" s="873"/>
      <c r="G11" s="873"/>
      <c r="H11" s="873"/>
      <c r="I11" s="873"/>
      <c r="J11" s="873"/>
      <c r="K11" s="874"/>
    </row>
    <row r="12" spans="2:11" customFormat="1" ht="18" customHeight="1" thickBot="1" x14ac:dyDescent="0.3">
      <c r="B12" s="875"/>
      <c r="C12" s="876"/>
      <c r="D12" s="877">
        <v>5</v>
      </c>
      <c r="E12" s="878"/>
      <c r="F12" s="873"/>
      <c r="G12" s="873"/>
      <c r="H12" s="873"/>
      <c r="I12" s="873"/>
      <c r="J12" s="873"/>
      <c r="K12" s="874"/>
    </row>
    <row r="13" spans="2:11" customFormat="1" ht="18" customHeight="1" thickBot="1" x14ac:dyDescent="0.3">
      <c r="B13" s="875"/>
      <c r="C13" s="876"/>
      <c r="D13" s="877">
        <v>6</v>
      </c>
      <c r="E13" s="878"/>
      <c r="F13" s="873"/>
      <c r="G13" s="873"/>
      <c r="H13" s="873"/>
      <c r="I13" s="873"/>
      <c r="J13" s="873"/>
      <c r="K13" s="874"/>
    </row>
    <row r="14" spans="2:11" customFormat="1" ht="18" customHeight="1" thickBot="1" x14ac:dyDescent="0.3">
      <c r="B14" s="875"/>
      <c r="C14" s="876"/>
      <c r="D14" s="877">
        <v>7</v>
      </c>
      <c r="E14" s="878"/>
      <c r="F14" s="873"/>
      <c r="G14" s="873"/>
      <c r="H14" s="873"/>
      <c r="I14" s="873"/>
      <c r="J14" s="873"/>
      <c r="K14" s="874"/>
    </row>
    <row r="15" spans="2:11" customFormat="1" ht="18" customHeight="1" thickBot="1" x14ac:dyDescent="0.3">
      <c r="B15" s="875">
        <v>45352</v>
      </c>
      <c r="C15" s="876"/>
      <c r="D15" s="877">
        <v>8</v>
      </c>
      <c r="E15" s="878"/>
      <c r="F15" s="873" t="s">
        <v>263</v>
      </c>
      <c r="G15" s="873"/>
      <c r="H15" s="873"/>
      <c r="I15" s="873"/>
      <c r="J15" s="873"/>
      <c r="K15" s="874"/>
    </row>
    <row r="16" spans="2:11" customFormat="1" ht="15.75" customHeight="1" thickBot="1" x14ac:dyDescent="0.3">
      <c r="B16" s="891"/>
      <c r="C16" s="891"/>
      <c r="D16" s="891"/>
      <c r="E16" s="891"/>
      <c r="F16" s="891"/>
      <c r="G16" s="891"/>
      <c r="H16" s="891"/>
      <c r="I16" s="891"/>
      <c r="J16" s="891"/>
      <c r="K16" s="891"/>
    </row>
    <row r="17" spans="2:12" customFormat="1" ht="15.75" customHeight="1" thickBot="1" x14ac:dyDescent="0.3">
      <c r="B17" s="892" t="s">
        <v>252</v>
      </c>
      <c r="C17" s="893"/>
      <c r="D17" s="893"/>
      <c r="E17" s="894"/>
      <c r="F17" s="895" t="s">
        <v>253</v>
      </c>
      <c r="G17" s="896"/>
      <c r="H17" s="897"/>
      <c r="I17" s="898" t="s">
        <v>254</v>
      </c>
      <c r="J17" s="899"/>
      <c r="K17" s="894"/>
    </row>
    <row r="18" spans="2:12" customFormat="1" ht="27" customHeight="1" x14ac:dyDescent="0.25">
      <c r="B18" s="900"/>
      <c r="C18" s="901"/>
      <c r="D18" s="901"/>
      <c r="E18" s="901"/>
      <c r="F18" s="901"/>
      <c r="G18" s="901"/>
      <c r="H18" s="901"/>
      <c r="I18" s="902"/>
      <c r="J18" s="902"/>
      <c r="K18" s="903"/>
    </row>
    <row r="19" spans="2:12" customFormat="1" ht="15" customHeight="1" x14ac:dyDescent="0.25">
      <c r="B19" s="880" t="s">
        <v>255</v>
      </c>
      <c r="C19" s="881"/>
      <c r="D19" s="881"/>
      <c r="E19" s="881"/>
      <c r="F19" s="882" t="s">
        <v>256</v>
      </c>
      <c r="G19" s="882"/>
      <c r="H19" s="883"/>
      <c r="I19" s="882" t="s">
        <v>256</v>
      </c>
      <c r="J19" s="882"/>
      <c r="K19" s="883"/>
    </row>
    <row r="20" spans="2:12" customFormat="1" ht="22.5" customHeight="1" thickBot="1" x14ac:dyDescent="0.3">
      <c r="B20" s="884" t="s">
        <v>257</v>
      </c>
      <c r="C20" s="885"/>
      <c r="D20" s="885"/>
      <c r="E20" s="885"/>
      <c r="F20" s="885" t="s">
        <v>258</v>
      </c>
      <c r="G20" s="885"/>
      <c r="H20" s="886"/>
      <c r="I20" s="885" t="s">
        <v>258</v>
      </c>
      <c r="J20" s="885"/>
      <c r="K20" s="886"/>
    </row>
    <row r="21" spans="2:12" customFormat="1" ht="9" customHeight="1" thickBot="1" x14ac:dyDescent="0.3">
      <c r="B21" s="887"/>
      <c r="C21" s="887"/>
      <c r="D21" s="887"/>
      <c r="E21" s="887"/>
      <c r="F21" s="887"/>
      <c r="G21" s="887"/>
      <c r="H21" s="887"/>
      <c r="I21" s="887"/>
      <c r="J21" s="887"/>
      <c r="K21" s="887"/>
    </row>
    <row r="22" spans="2:12" customFormat="1" ht="15.75" thickBot="1" x14ac:dyDescent="0.3">
      <c r="B22" s="888" t="s">
        <v>205</v>
      </c>
      <c r="C22" s="889"/>
      <c r="D22" s="890"/>
      <c r="E22" s="131" t="s">
        <v>206</v>
      </c>
      <c r="F22" s="888" t="s">
        <v>207</v>
      </c>
      <c r="G22" s="890"/>
      <c r="H22" s="132" t="s">
        <v>208</v>
      </c>
      <c r="I22" s="888" t="s">
        <v>209</v>
      </c>
      <c r="J22" s="890"/>
      <c r="K22" s="133">
        <v>1</v>
      </c>
    </row>
    <row r="23" spans="2:12" ht="8.25" customHeight="1" x14ac:dyDescent="0.25"/>
    <row r="24" spans="2:12" x14ac:dyDescent="0.25">
      <c r="B24" s="879" t="s">
        <v>259</v>
      </c>
      <c r="C24" s="879"/>
      <c r="D24" s="879"/>
      <c r="E24" s="879"/>
      <c r="F24" s="879"/>
      <c r="G24" s="879"/>
      <c r="H24" s="879"/>
      <c r="I24" s="879"/>
      <c r="J24" s="879"/>
      <c r="K24" s="879"/>
      <c r="L24" s="879"/>
    </row>
    <row r="25" spans="2:12" x14ac:dyDescent="0.25">
      <c r="B25" s="879" t="s">
        <v>260</v>
      </c>
      <c r="C25" s="879"/>
      <c r="D25" s="879"/>
      <c r="E25" s="879"/>
      <c r="F25" s="879"/>
      <c r="G25" s="879"/>
      <c r="H25" s="879"/>
      <c r="I25" s="879"/>
      <c r="J25" s="879"/>
      <c r="K25" s="879"/>
      <c r="L25" s="879"/>
    </row>
    <row r="26" spans="2:12" ht="9" customHeight="1" x14ac:dyDescent="0.25"/>
  </sheetData>
  <mergeCells count="52">
    <mergeCell ref="B2:B5"/>
    <mergeCell ref="C2:I5"/>
    <mergeCell ref="J2:K2"/>
    <mergeCell ref="J3:K3"/>
    <mergeCell ref="J4:K4"/>
    <mergeCell ref="J5:K5"/>
    <mergeCell ref="B7:C7"/>
    <mergeCell ref="D7:E7"/>
    <mergeCell ref="F7:K7"/>
    <mergeCell ref="B15:C15"/>
    <mergeCell ref="D15:E15"/>
    <mergeCell ref="F15:K15"/>
    <mergeCell ref="B8:C8"/>
    <mergeCell ref="D8:E8"/>
    <mergeCell ref="F8:K8"/>
    <mergeCell ref="B13:C13"/>
    <mergeCell ref="B9:C9"/>
    <mergeCell ref="D9:E9"/>
    <mergeCell ref="F9:K9"/>
    <mergeCell ref="B10:C10"/>
    <mergeCell ref="D10:E10"/>
    <mergeCell ref="F10:K10"/>
    <mergeCell ref="B16:K16"/>
    <mergeCell ref="B17:E17"/>
    <mergeCell ref="F17:H17"/>
    <mergeCell ref="I17:K17"/>
    <mergeCell ref="B18:E18"/>
    <mergeCell ref="F18:H18"/>
    <mergeCell ref="I18:K18"/>
    <mergeCell ref="B25:L25"/>
    <mergeCell ref="B19:E19"/>
    <mergeCell ref="F19:H19"/>
    <mergeCell ref="I19:K19"/>
    <mergeCell ref="B20:E20"/>
    <mergeCell ref="F20:H20"/>
    <mergeCell ref="I20:K20"/>
    <mergeCell ref="B21:K21"/>
    <mergeCell ref="B22:D22"/>
    <mergeCell ref="F22:G22"/>
    <mergeCell ref="I22:J22"/>
    <mergeCell ref="B24:L24"/>
    <mergeCell ref="F11:K11"/>
    <mergeCell ref="B12:C12"/>
    <mergeCell ref="D12:E12"/>
    <mergeCell ref="F12:K12"/>
    <mergeCell ref="B14:C14"/>
    <mergeCell ref="D14:E14"/>
    <mergeCell ref="F14:K14"/>
    <mergeCell ref="D13:E13"/>
    <mergeCell ref="F13:K13"/>
    <mergeCell ref="B11:C11"/>
    <mergeCell ref="D11:E11"/>
  </mergeCells>
  <pageMargins left="0.7" right="0.7" top="0.75" bottom="0.75" header="0.3" footer="0.3"/>
  <pageSetup paperSize="9" scale="60"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K55"/>
  <sheetViews>
    <sheetView zoomScale="90" zoomScaleNormal="90" workbookViewId="0">
      <selection activeCell="K13" sqref="K13"/>
    </sheetView>
  </sheetViews>
  <sheetFormatPr baseColWidth="10" defaultRowHeight="15" x14ac:dyDescent="0.25"/>
  <cols>
    <col min="2" max="2" width="24.140625" customWidth="1"/>
    <col min="3" max="3" width="70.140625" customWidth="1"/>
    <col min="4" max="4" width="29.7109375" customWidth="1"/>
  </cols>
  <sheetData>
    <row r="1" spans="1:37" ht="23.25" x14ac:dyDescent="0.25">
      <c r="A1" s="69"/>
      <c r="B1" s="917" t="s">
        <v>53</v>
      </c>
      <c r="C1" s="917"/>
      <c r="D1" s="917"/>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7" x14ac:dyDescent="0.2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7" ht="25.5" x14ac:dyDescent="0.25">
      <c r="A3" s="69"/>
      <c r="B3" s="3"/>
      <c r="C3" s="4" t="s">
        <v>50</v>
      </c>
      <c r="D3" s="4" t="s">
        <v>4</v>
      </c>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7" ht="51" x14ac:dyDescent="0.25">
      <c r="A4" s="69"/>
      <c r="B4" s="5" t="s">
        <v>49</v>
      </c>
      <c r="C4" s="6" t="s">
        <v>100</v>
      </c>
      <c r="D4" s="7">
        <v>0.2</v>
      </c>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7" ht="51" x14ac:dyDescent="0.25">
      <c r="A5" s="69"/>
      <c r="B5" s="8" t="s">
        <v>51</v>
      </c>
      <c r="C5" s="9" t="s">
        <v>101</v>
      </c>
      <c r="D5" s="10">
        <v>0.4</v>
      </c>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7" ht="51" x14ac:dyDescent="0.25">
      <c r="A6" s="69"/>
      <c r="B6" s="11" t="s">
        <v>105</v>
      </c>
      <c r="C6" s="9" t="s">
        <v>102</v>
      </c>
      <c r="D6" s="10">
        <v>0.6</v>
      </c>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7" ht="76.5" x14ac:dyDescent="0.25">
      <c r="A7" s="69"/>
      <c r="B7" s="12" t="s">
        <v>6</v>
      </c>
      <c r="C7" s="9" t="s">
        <v>103</v>
      </c>
      <c r="D7" s="10">
        <v>0.8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7" ht="51" x14ac:dyDescent="0.25">
      <c r="A8" s="69"/>
      <c r="B8" s="13" t="s">
        <v>52</v>
      </c>
      <c r="C8" s="9" t="s">
        <v>104</v>
      </c>
      <c r="D8" s="10">
        <v>1</v>
      </c>
      <c r="E8" s="69"/>
      <c r="F8" s="69"/>
      <c r="G8" s="69"/>
      <c r="H8" s="69"/>
      <c r="I8" s="69"/>
      <c r="J8" s="69"/>
      <c r="K8" s="69"/>
      <c r="L8" s="69"/>
      <c r="M8" s="69"/>
      <c r="N8" s="69"/>
      <c r="O8" s="69"/>
      <c r="P8" s="69"/>
      <c r="Q8" s="69"/>
      <c r="R8" s="69"/>
      <c r="S8" s="69"/>
      <c r="T8" s="69"/>
      <c r="U8" s="69"/>
      <c r="V8" s="69"/>
      <c r="W8" s="69"/>
      <c r="X8" s="69"/>
      <c r="Y8" s="69"/>
      <c r="Z8" s="69"/>
      <c r="AA8" s="69"/>
      <c r="AB8" s="69"/>
      <c r="AC8" s="69"/>
      <c r="AD8" s="69"/>
      <c r="AE8" s="69"/>
    </row>
    <row r="9" spans="1:37" x14ac:dyDescent="0.25">
      <c r="A9" s="69"/>
      <c r="B9" s="93"/>
      <c r="C9" s="93"/>
      <c r="D9" s="93"/>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37" ht="16.5" x14ac:dyDescent="0.25">
      <c r="A10" s="69"/>
      <c r="B10" s="94"/>
      <c r="C10" s="93"/>
      <c r="D10" s="93"/>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x14ac:dyDescent="0.25">
      <c r="A11" s="69"/>
      <c r="B11" s="93"/>
      <c r="C11" s="93"/>
      <c r="D11" s="93"/>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37" x14ac:dyDescent="0.25">
      <c r="A12" s="69"/>
      <c r="B12" s="93"/>
      <c r="C12" s="93"/>
      <c r="D12" s="93"/>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x14ac:dyDescent="0.25">
      <c r="A13" s="69"/>
      <c r="B13" s="93"/>
      <c r="C13" s="93"/>
      <c r="D13" s="93"/>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37" x14ac:dyDescent="0.25">
      <c r="A14" s="69"/>
      <c r="B14" s="93"/>
      <c r="C14" s="93"/>
      <c r="D14" s="93"/>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x14ac:dyDescent="0.25">
      <c r="A15" s="69"/>
      <c r="B15" s="93"/>
      <c r="C15" s="93"/>
      <c r="D15" s="93"/>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37" x14ac:dyDescent="0.25">
      <c r="A16" s="69"/>
      <c r="B16" s="93"/>
      <c r="C16" s="93"/>
      <c r="D16" s="93"/>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x14ac:dyDescent="0.25">
      <c r="A17" s="69"/>
      <c r="B17" s="93"/>
      <c r="C17" s="93"/>
      <c r="D17" s="93"/>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x14ac:dyDescent="0.25">
      <c r="A18" s="69"/>
      <c r="B18" s="93"/>
      <c r="C18" s="93"/>
      <c r="D18" s="93"/>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x14ac:dyDescent="0.2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x14ac:dyDescent="0.2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x14ac:dyDescent="0.2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x14ac:dyDescent="0.2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x14ac:dyDescent="0.2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x14ac:dyDescent="0.2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x14ac:dyDescent="0.25">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x14ac:dyDescent="0.2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x14ac:dyDescent="0.25">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1" x14ac:dyDescent="0.25">
      <c r="A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31" x14ac:dyDescent="0.25">
      <c r="A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31" x14ac:dyDescent="0.25">
      <c r="A35" s="69"/>
    </row>
    <row r="36" spans="1:31" x14ac:dyDescent="0.25">
      <c r="A36" s="69"/>
    </row>
    <row r="37" spans="1:31" x14ac:dyDescent="0.25">
      <c r="A37" s="69"/>
    </row>
    <row r="38" spans="1:31" x14ac:dyDescent="0.25">
      <c r="A38" s="69"/>
    </row>
    <row r="39" spans="1:31" x14ac:dyDescent="0.25">
      <c r="A39" s="69"/>
    </row>
    <row r="40" spans="1:31" x14ac:dyDescent="0.25">
      <c r="A40" s="69"/>
    </row>
    <row r="41" spans="1:31" x14ac:dyDescent="0.25">
      <c r="A41" s="69"/>
    </row>
    <row r="42" spans="1:31" x14ac:dyDescent="0.25">
      <c r="A42" s="69"/>
    </row>
    <row r="43" spans="1:31" x14ac:dyDescent="0.25">
      <c r="A43" s="69"/>
    </row>
    <row r="44" spans="1:31" x14ac:dyDescent="0.25">
      <c r="A44" s="69"/>
    </row>
    <row r="45" spans="1:31" x14ac:dyDescent="0.25">
      <c r="A45" s="69"/>
    </row>
    <row r="46" spans="1:31" x14ac:dyDescent="0.25">
      <c r="A46" s="69"/>
    </row>
    <row r="47" spans="1:31" x14ac:dyDescent="0.25">
      <c r="A47" s="69"/>
    </row>
    <row r="48" spans="1:31" x14ac:dyDescent="0.25">
      <c r="A48" s="69"/>
    </row>
    <row r="49" spans="1:1" x14ac:dyDescent="0.25">
      <c r="A49" s="69"/>
    </row>
    <row r="50" spans="1:1" x14ac:dyDescent="0.25">
      <c r="A50" s="69"/>
    </row>
    <row r="51" spans="1:1" x14ac:dyDescent="0.25">
      <c r="A51" s="69"/>
    </row>
    <row r="52" spans="1:1" x14ac:dyDescent="0.25">
      <c r="A52" s="69"/>
    </row>
    <row r="53" spans="1:1" x14ac:dyDescent="0.25">
      <c r="A53" s="69"/>
    </row>
    <row r="54" spans="1:1" x14ac:dyDescent="0.25">
      <c r="A54" s="69"/>
    </row>
    <row r="55" spans="1:1" x14ac:dyDescent="0.25">
      <c r="A55" s="69"/>
    </row>
  </sheetData>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06228-F5A5-46F7-B9B7-5792FAEC722A}">
  <dimension ref="A1:H31"/>
  <sheetViews>
    <sheetView showGridLines="0" topLeftCell="A10" workbookViewId="0">
      <selection activeCell="I22" sqref="I22"/>
    </sheetView>
  </sheetViews>
  <sheetFormatPr baseColWidth="10" defaultRowHeight="15" x14ac:dyDescent="0.25"/>
  <cols>
    <col min="1" max="1" width="17.42578125" customWidth="1"/>
    <col min="2" max="2" width="9.7109375" customWidth="1"/>
    <col min="4" max="4" width="72.140625" customWidth="1"/>
    <col min="5" max="6" width="11" customWidth="1"/>
    <col min="7" max="7" width="11.42578125" style="146"/>
    <col min="8" max="8" width="11.42578125" style="15"/>
  </cols>
  <sheetData>
    <row r="1" spans="1:8" ht="15.75" thickBot="1" x14ac:dyDescent="0.3"/>
    <row r="2" spans="1:8" ht="19.5" customHeight="1" x14ac:dyDescent="0.25">
      <c r="B2" s="437" t="s">
        <v>242</v>
      </c>
      <c r="C2" s="438"/>
      <c r="D2" s="425" t="s">
        <v>298</v>
      </c>
      <c r="E2" s="445" t="s">
        <v>323</v>
      </c>
      <c r="F2" s="418"/>
    </row>
    <row r="3" spans="1:8" ht="19.5" customHeight="1" x14ac:dyDescent="0.25">
      <c r="B3" s="413"/>
      <c r="C3" s="439"/>
      <c r="D3" s="426"/>
      <c r="E3" s="446" t="s">
        <v>262</v>
      </c>
      <c r="F3" s="420"/>
    </row>
    <row r="4" spans="1:8" ht="19.5" customHeight="1" x14ac:dyDescent="0.25">
      <c r="B4" s="413"/>
      <c r="C4" s="439"/>
      <c r="D4" s="426"/>
      <c r="E4" s="446" t="s">
        <v>333</v>
      </c>
      <c r="F4" s="420"/>
    </row>
    <row r="5" spans="1:8" ht="19.5" customHeight="1" thickBot="1" x14ac:dyDescent="0.3">
      <c r="A5" t="s">
        <v>264</v>
      </c>
      <c r="B5" s="415"/>
      <c r="C5" s="440"/>
      <c r="D5" s="427"/>
      <c r="E5" s="447" t="s">
        <v>243</v>
      </c>
      <c r="F5" s="422"/>
    </row>
    <row r="6" spans="1:8" ht="15.75" thickBot="1" x14ac:dyDescent="0.3"/>
    <row r="7" spans="1:8" x14ac:dyDescent="0.25">
      <c r="B7" s="428" t="s">
        <v>297</v>
      </c>
      <c r="C7" s="431" t="s">
        <v>266</v>
      </c>
      <c r="D7" s="432"/>
      <c r="E7" s="441" t="s">
        <v>268</v>
      </c>
      <c r="F7" s="442"/>
    </row>
    <row r="8" spans="1:8" ht="15.75" thickBot="1" x14ac:dyDescent="0.3">
      <c r="B8" s="429"/>
      <c r="C8" s="433"/>
      <c r="D8" s="434"/>
      <c r="E8" s="443"/>
      <c r="F8" s="444"/>
      <c r="H8" s="156">
        <f>+COUNTA($E$10:$E$28)</f>
        <v>0</v>
      </c>
    </row>
    <row r="9" spans="1:8" ht="15.75" thickBot="1" x14ac:dyDescent="0.3">
      <c r="B9" s="430"/>
      <c r="C9" s="435" t="s">
        <v>267</v>
      </c>
      <c r="D9" s="436"/>
      <c r="E9" s="153" t="s">
        <v>269</v>
      </c>
      <c r="F9" s="153" t="s">
        <v>270</v>
      </c>
      <c r="H9" s="156">
        <f>+COUNTA($F$10:$F$28)</f>
        <v>0</v>
      </c>
    </row>
    <row r="10" spans="1:8" ht="15.75" thickBot="1" x14ac:dyDescent="0.3">
      <c r="B10" s="152">
        <v>1</v>
      </c>
      <c r="C10" s="423" t="s">
        <v>271</v>
      </c>
      <c r="D10" s="424"/>
      <c r="E10" s="148"/>
      <c r="F10" s="149"/>
      <c r="H10" s="156">
        <f>+COUNTA($E$10:$E$28)-COUNTA(F10:F28)</f>
        <v>0</v>
      </c>
    </row>
    <row r="11" spans="1:8" ht="15.75" thickBot="1" x14ac:dyDescent="0.3">
      <c r="B11" s="152">
        <v>2</v>
      </c>
      <c r="C11" s="423" t="s">
        <v>273</v>
      </c>
      <c r="D11" s="424" t="s">
        <v>273</v>
      </c>
      <c r="E11" s="148"/>
      <c r="F11" s="149"/>
      <c r="H11" s="157"/>
    </row>
    <row r="12" spans="1:8" ht="15.75" thickBot="1" x14ac:dyDescent="0.3">
      <c r="B12" s="152">
        <v>3</v>
      </c>
      <c r="C12" s="423" t="s">
        <v>274</v>
      </c>
      <c r="D12" s="424" t="s">
        <v>274</v>
      </c>
      <c r="E12" s="148"/>
      <c r="F12" s="149"/>
    </row>
    <row r="13" spans="1:8" ht="15.75" thickBot="1" x14ac:dyDescent="0.3">
      <c r="B13" s="152">
        <v>4</v>
      </c>
      <c r="C13" s="423" t="s">
        <v>332</v>
      </c>
      <c r="D13" s="424" t="s">
        <v>275</v>
      </c>
      <c r="E13" s="148"/>
      <c r="F13" s="149"/>
    </row>
    <row r="14" spans="1:8" ht="15.75" thickBot="1" x14ac:dyDescent="0.3">
      <c r="B14" s="152">
        <v>5</v>
      </c>
      <c r="C14" s="423" t="s">
        <v>276</v>
      </c>
      <c r="D14" s="424" t="s">
        <v>276</v>
      </c>
      <c r="E14" s="148"/>
      <c r="F14" s="149"/>
    </row>
    <row r="15" spans="1:8" ht="15.75" thickBot="1" x14ac:dyDescent="0.3">
      <c r="B15" s="152">
        <v>6</v>
      </c>
      <c r="C15" s="423" t="s">
        <v>277</v>
      </c>
      <c r="D15" s="424" t="s">
        <v>277</v>
      </c>
      <c r="E15" s="148"/>
      <c r="F15" s="149"/>
    </row>
    <row r="16" spans="1:8" ht="15.75" thickBot="1" x14ac:dyDescent="0.3">
      <c r="B16" s="152">
        <v>7</v>
      </c>
      <c r="C16" s="423" t="s">
        <v>278</v>
      </c>
      <c r="D16" s="424" t="s">
        <v>278</v>
      </c>
      <c r="E16" s="148"/>
      <c r="F16" s="149"/>
    </row>
    <row r="17" spans="2:7" ht="28.5" customHeight="1" thickBot="1" x14ac:dyDescent="0.3">
      <c r="B17" s="152">
        <v>8</v>
      </c>
      <c r="C17" s="423" t="s">
        <v>279</v>
      </c>
      <c r="D17" s="424" t="s">
        <v>279</v>
      </c>
      <c r="E17" s="148"/>
      <c r="F17" s="149"/>
    </row>
    <row r="18" spans="2:7" ht="18.75" customHeight="1" thickBot="1" x14ac:dyDescent="0.3">
      <c r="B18" s="152">
        <v>9</v>
      </c>
      <c r="C18" s="423" t="s">
        <v>280</v>
      </c>
      <c r="D18" s="424" t="s">
        <v>280</v>
      </c>
      <c r="E18" s="148"/>
      <c r="F18" s="149"/>
    </row>
    <row r="19" spans="2:7" ht="15.75" thickBot="1" x14ac:dyDescent="0.3">
      <c r="B19" s="152">
        <v>10</v>
      </c>
      <c r="C19" s="423" t="s">
        <v>281</v>
      </c>
      <c r="D19" s="424" t="s">
        <v>281</v>
      </c>
      <c r="E19" s="148"/>
      <c r="F19" s="149"/>
    </row>
    <row r="20" spans="2:7" ht="15.75" thickBot="1" x14ac:dyDescent="0.3">
      <c r="B20" s="152">
        <v>11</v>
      </c>
      <c r="C20" s="423" t="s">
        <v>282</v>
      </c>
      <c r="D20" s="424" t="s">
        <v>282</v>
      </c>
      <c r="E20" s="148"/>
      <c r="F20" s="149"/>
    </row>
    <row r="21" spans="2:7" ht="15.75" thickBot="1" x14ac:dyDescent="0.3">
      <c r="B21" s="152">
        <v>12</v>
      </c>
      <c r="C21" s="423" t="s">
        <v>283</v>
      </c>
      <c r="D21" s="424" t="s">
        <v>283</v>
      </c>
      <c r="E21" s="148"/>
      <c r="F21" s="149"/>
    </row>
    <row r="22" spans="2:7" ht="15.75" thickBot="1" x14ac:dyDescent="0.3">
      <c r="B22" s="152">
        <v>13</v>
      </c>
      <c r="C22" s="423" t="s">
        <v>284</v>
      </c>
      <c r="D22" s="424" t="s">
        <v>284</v>
      </c>
      <c r="E22" s="148"/>
      <c r="F22" s="149"/>
    </row>
    <row r="23" spans="2:7" ht="15.75" thickBot="1" x14ac:dyDescent="0.3">
      <c r="B23" s="152">
        <v>14</v>
      </c>
      <c r="C23" s="423" t="s">
        <v>285</v>
      </c>
      <c r="D23" s="424" t="s">
        <v>285</v>
      </c>
      <c r="E23" s="148"/>
      <c r="F23" s="149"/>
    </row>
    <row r="24" spans="2:7" ht="15.75" thickBot="1" x14ac:dyDescent="0.3">
      <c r="B24" s="152">
        <v>15</v>
      </c>
      <c r="C24" s="423" t="s">
        <v>286</v>
      </c>
      <c r="D24" s="424" t="s">
        <v>286</v>
      </c>
      <c r="E24" s="148"/>
      <c r="F24" s="149"/>
    </row>
    <row r="25" spans="2:7" ht="15.75" thickBot="1" x14ac:dyDescent="0.3">
      <c r="B25" s="152">
        <v>16</v>
      </c>
      <c r="C25" s="423" t="s">
        <v>287</v>
      </c>
      <c r="D25" s="424" t="s">
        <v>287</v>
      </c>
      <c r="E25" s="148"/>
      <c r="F25" s="149"/>
    </row>
    <row r="26" spans="2:7" ht="15.75" thickBot="1" x14ac:dyDescent="0.3">
      <c r="B26" s="152">
        <v>17</v>
      </c>
      <c r="C26" s="423" t="s">
        <v>288</v>
      </c>
      <c r="D26" s="424" t="s">
        <v>288</v>
      </c>
      <c r="E26" s="148"/>
      <c r="F26" s="149"/>
    </row>
    <row r="27" spans="2:7" ht="15.75" thickBot="1" x14ac:dyDescent="0.3">
      <c r="B27" s="152">
        <v>18</v>
      </c>
      <c r="C27" s="423" t="s">
        <v>289</v>
      </c>
      <c r="D27" s="424" t="s">
        <v>289</v>
      </c>
      <c r="E27" s="148"/>
      <c r="F27" s="149"/>
    </row>
    <row r="28" spans="2:7" ht="15.75" thickBot="1" x14ac:dyDescent="0.3">
      <c r="B28" s="152">
        <v>19</v>
      </c>
      <c r="C28" s="423" t="s">
        <v>290</v>
      </c>
      <c r="D28" s="424" t="s">
        <v>290</v>
      </c>
      <c r="E28" s="148"/>
      <c r="F28" s="149"/>
    </row>
    <row r="29" spans="2:7" x14ac:dyDescent="0.25">
      <c r="C29" s="147"/>
      <c r="D29" s="147"/>
      <c r="E29" s="155">
        <f>COUNTIF(E10:E28,"x")</f>
        <v>0</v>
      </c>
      <c r="F29" s="155">
        <f>COUNTIF(F10:F28,"x")</f>
        <v>0</v>
      </c>
      <c r="G29" s="154" t="str">
        <f>+IF(H10=0,"",IF(H10&gt;=12,"Catastrófico",IF(H10&gt;=6,"Mayor",IF(H10&lt;=5,"Moderado",""))))</f>
        <v/>
      </c>
    </row>
    <row r="30" spans="2:7" x14ac:dyDescent="0.25">
      <c r="C30" s="145"/>
      <c r="D30" s="145"/>
      <c r="E30" s="145"/>
      <c r="F30" s="145"/>
    </row>
    <row r="31" spans="2:7" x14ac:dyDescent="0.25">
      <c r="C31" s="145"/>
      <c r="D31" s="145"/>
      <c r="E31" s="145"/>
      <c r="F31" s="145"/>
    </row>
  </sheetData>
  <mergeCells count="29">
    <mergeCell ref="C16:D16"/>
    <mergeCell ref="C13:D13"/>
    <mergeCell ref="C14:D14"/>
    <mergeCell ref="C28:D28"/>
    <mergeCell ref="C17:D17"/>
    <mergeCell ref="C18:D18"/>
    <mergeCell ref="C19:D19"/>
    <mergeCell ref="C20:D20"/>
    <mergeCell ref="C21:D21"/>
    <mergeCell ref="C22:D22"/>
    <mergeCell ref="C23:D23"/>
    <mergeCell ref="C24:D24"/>
    <mergeCell ref="C25:D25"/>
    <mergeCell ref="C26:D26"/>
    <mergeCell ref="C27:D27"/>
    <mergeCell ref="C15:D15"/>
    <mergeCell ref="E7:F8"/>
    <mergeCell ref="E2:F2"/>
    <mergeCell ref="E3:F3"/>
    <mergeCell ref="E4:F4"/>
    <mergeCell ref="E5:F5"/>
    <mergeCell ref="C12:D12"/>
    <mergeCell ref="D2:D5"/>
    <mergeCell ref="B7:B9"/>
    <mergeCell ref="C7:D8"/>
    <mergeCell ref="C9:D9"/>
    <mergeCell ref="C11:D11"/>
    <mergeCell ref="B2:C5"/>
    <mergeCell ref="C10:D10"/>
  </mergeCells>
  <conditionalFormatting sqref="G29">
    <cfRule type="cellIs" dxfId="270" priority="1" stopIfTrue="1" operator="equal">
      <formula>"Catastrófico"</formula>
    </cfRule>
    <cfRule type="cellIs" dxfId="269" priority="2" stopIfTrue="1" operator="equal">
      <formula>"Moderado"</formula>
    </cfRule>
    <cfRule type="cellIs" dxfId="268" priority="3" stopIfTrue="1" operator="equal">
      <formula>"Mayor"</formula>
    </cfRule>
  </conditionalFormatting>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DDAA4E-D254-4140-91F7-79E301199378}">
          <x14:formula1>
            <xm:f>Intructivo!$J$2</xm:f>
          </x14:formula1>
          <xm:sqref>E10:F28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249977111117893"/>
  </sheetPr>
  <dimension ref="A1:U232"/>
  <sheetViews>
    <sheetView topLeftCell="E196" zoomScale="55" zoomScaleNormal="55" workbookViewId="0">
      <selection activeCell="D4" sqref="D4"/>
    </sheetView>
  </sheetViews>
  <sheetFormatPr baseColWidth="10" defaultRowHeight="15" x14ac:dyDescent="0.25"/>
  <cols>
    <col min="2" max="2" width="40.42578125" customWidth="1"/>
    <col min="3" max="3" width="74.7109375" customWidth="1"/>
    <col min="4" max="4" width="135" bestFit="1" customWidth="1"/>
    <col min="5" max="5" width="144.7109375" bestFit="1" customWidth="1"/>
  </cols>
  <sheetData>
    <row r="1" spans="1:21" ht="33.75" x14ac:dyDescent="0.25">
      <c r="A1" s="69"/>
      <c r="B1" s="918" t="s">
        <v>61</v>
      </c>
      <c r="C1" s="918"/>
      <c r="D1" s="918"/>
      <c r="E1" s="69"/>
      <c r="F1" s="69"/>
      <c r="G1" s="69"/>
      <c r="H1" s="69"/>
      <c r="I1" s="69"/>
      <c r="J1" s="69"/>
      <c r="K1" s="69"/>
      <c r="L1" s="69"/>
      <c r="M1" s="69"/>
      <c r="N1" s="69"/>
      <c r="O1" s="69"/>
      <c r="P1" s="69"/>
      <c r="Q1" s="69"/>
      <c r="R1" s="69"/>
      <c r="S1" s="69"/>
      <c r="T1" s="69"/>
      <c r="U1" s="69"/>
    </row>
    <row r="2" spans="1:21" x14ac:dyDescent="0.25">
      <c r="A2" s="69"/>
      <c r="B2" s="69"/>
      <c r="C2" s="69"/>
      <c r="D2" s="69"/>
      <c r="E2" s="69"/>
      <c r="F2" s="69"/>
      <c r="G2" s="69"/>
      <c r="H2" s="69"/>
      <c r="I2" s="69"/>
      <c r="J2" s="69"/>
      <c r="K2" s="69"/>
      <c r="L2" s="69"/>
      <c r="M2" s="69"/>
      <c r="N2" s="69"/>
      <c r="O2" s="69"/>
      <c r="P2" s="69"/>
      <c r="Q2" s="69"/>
      <c r="R2" s="69"/>
      <c r="S2" s="69"/>
      <c r="T2" s="69"/>
      <c r="U2" s="69"/>
    </row>
    <row r="3" spans="1:21" ht="60" x14ac:dyDescent="0.25">
      <c r="A3" s="69"/>
      <c r="B3" s="90"/>
      <c r="C3" s="22" t="s">
        <v>54</v>
      </c>
      <c r="D3" s="22" t="s">
        <v>55</v>
      </c>
      <c r="E3" s="69"/>
      <c r="F3" s="69"/>
      <c r="G3" s="69"/>
      <c r="H3" s="69"/>
      <c r="I3" s="69"/>
      <c r="J3" s="69"/>
      <c r="K3" s="69"/>
      <c r="L3" s="69"/>
      <c r="M3" s="69"/>
      <c r="N3" s="69"/>
      <c r="O3" s="69"/>
      <c r="P3" s="69"/>
      <c r="Q3" s="69"/>
      <c r="R3" s="69"/>
      <c r="S3" s="69"/>
      <c r="T3" s="69"/>
      <c r="U3" s="69"/>
    </row>
    <row r="4" spans="1:21" ht="33.75" x14ac:dyDescent="0.25">
      <c r="A4" s="89" t="s">
        <v>81</v>
      </c>
      <c r="B4" s="25" t="s">
        <v>99</v>
      </c>
      <c r="C4" s="30" t="s">
        <v>153</v>
      </c>
      <c r="D4" s="23" t="s">
        <v>95</v>
      </c>
      <c r="E4" s="69"/>
      <c r="F4" s="69"/>
      <c r="G4" s="69"/>
      <c r="H4" s="69"/>
      <c r="I4" s="69"/>
      <c r="J4" s="69"/>
      <c r="K4" s="69"/>
      <c r="L4" s="69"/>
      <c r="M4" s="69"/>
      <c r="N4" s="69"/>
      <c r="O4" s="69"/>
      <c r="P4" s="69"/>
      <c r="Q4" s="69"/>
      <c r="R4" s="69"/>
      <c r="S4" s="69"/>
      <c r="T4" s="69"/>
      <c r="U4" s="69"/>
    </row>
    <row r="5" spans="1:21" ht="101.25" x14ac:dyDescent="0.25">
      <c r="A5" s="89" t="s">
        <v>82</v>
      </c>
      <c r="B5" s="26" t="s">
        <v>57</v>
      </c>
      <c r="C5" s="31" t="s">
        <v>91</v>
      </c>
      <c r="D5" s="24" t="s">
        <v>96</v>
      </c>
      <c r="E5" s="69"/>
      <c r="F5" s="69"/>
      <c r="G5" s="69"/>
      <c r="H5" s="69"/>
      <c r="I5" s="69"/>
      <c r="J5" s="69"/>
      <c r="K5" s="69"/>
      <c r="L5" s="69"/>
      <c r="M5" s="69"/>
      <c r="N5" s="69"/>
      <c r="O5" s="69"/>
      <c r="P5" s="69"/>
      <c r="Q5" s="69"/>
      <c r="R5" s="69"/>
      <c r="S5" s="69"/>
      <c r="T5" s="69"/>
      <c r="U5" s="69"/>
    </row>
    <row r="6" spans="1:21" ht="67.5" x14ac:dyDescent="0.25">
      <c r="A6" s="89" t="s">
        <v>79</v>
      </c>
      <c r="B6" s="27" t="s">
        <v>58</v>
      </c>
      <c r="C6" s="31" t="s">
        <v>92</v>
      </c>
      <c r="D6" s="24" t="s">
        <v>98</v>
      </c>
      <c r="E6" s="69"/>
      <c r="F6" s="69"/>
      <c r="G6" s="69"/>
      <c r="H6" s="69"/>
      <c r="I6" s="69"/>
      <c r="J6" s="69"/>
      <c r="K6" s="69"/>
      <c r="L6" s="69"/>
      <c r="M6" s="69"/>
      <c r="N6" s="69"/>
      <c r="O6" s="69"/>
      <c r="P6" s="69"/>
      <c r="Q6" s="69"/>
      <c r="R6" s="69"/>
      <c r="S6" s="69"/>
      <c r="T6" s="69"/>
      <c r="U6" s="69"/>
    </row>
    <row r="7" spans="1:21" ht="101.25" x14ac:dyDescent="0.25">
      <c r="A7" s="89" t="s">
        <v>7</v>
      </c>
      <c r="B7" s="28" t="s">
        <v>59</v>
      </c>
      <c r="C7" s="31" t="s">
        <v>93</v>
      </c>
      <c r="D7" s="24" t="s">
        <v>202</v>
      </c>
      <c r="E7" s="69"/>
      <c r="F7" s="69"/>
      <c r="G7" s="69"/>
      <c r="H7" s="69"/>
      <c r="I7" s="69"/>
      <c r="J7" s="69"/>
      <c r="K7" s="69"/>
      <c r="L7" s="69"/>
      <c r="M7" s="69"/>
      <c r="N7" s="69"/>
      <c r="O7" s="69"/>
      <c r="P7" s="69"/>
      <c r="Q7" s="69"/>
      <c r="R7" s="69"/>
      <c r="S7" s="69"/>
      <c r="T7" s="69"/>
      <c r="U7" s="69"/>
    </row>
    <row r="8" spans="1:21" ht="67.5" x14ac:dyDescent="0.25">
      <c r="A8" s="89" t="s">
        <v>83</v>
      </c>
      <c r="B8" s="29" t="s">
        <v>60</v>
      </c>
      <c r="C8" s="31" t="s">
        <v>94</v>
      </c>
      <c r="D8" s="24" t="s">
        <v>116</v>
      </c>
      <c r="E8" s="69"/>
      <c r="F8" s="69"/>
      <c r="G8" s="69"/>
      <c r="H8" s="69"/>
      <c r="I8" s="69"/>
      <c r="J8" s="69"/>
      <c r="K8" s="69"/>
      <c r="L8" s="69"/>
      <c r="M8" s="69"/>
      <c r="N8" s="69"/>
      <c r="O8" s="69"/>
      <c r="P8" s="69"/>
      <c r="Q8" s="69"/>
      <c r="R8" s="69"/>
      <c r="S8" s="69"/>
      <c r="T8" s="69"/>
      <c r="U8" s="69"/>
    </row>
    <row r="9" spans="1:21" ht="20.25" x14ac:dyDescent="0.25">
      <c r="A9" s="89"/>
      <c r="B9" s="89"/>
      <c r="C9" s="91"/>
      <c r="D9" s="91"/>
      <c r="E9" s="69"/>
      <c r="F9" s="69"/>
      <c r="G9" s="69"/>
      <c r="H9" s="69"/>
      <c r="I9" s="69"/>
      <c r="J9" s="69"/>
      <c r="K9" s="69"/>
      <c r="L9" s="69"/>
      <c r="M9" s="69"/>
      <c r="N9" s="69"/>
      <c r="O9" s="69"/>
      <c r="P9" s="69"/>
      <c r="Q9" s="69"/>
      <c r="R9" s="69"/>
      <c r="S9" s="69"/>
      <c r="T9" s="69"/>
      <c r="U9" s="69"/>
    </row>
    <row r="10" spans="1:21" ht="16.5" x14ac:dyDescent="0.25">
      <c r="A10" s="89"/>
      <c r="B10" s="92"/>
      <c r="C10" s="92"/>
      <c r="D10" s="92"/>
      <c r="E10" s="69"/>
      <c r="F10" s="69"/>
      <c r="G10" s="69"/>
      <c r="H10" s="69"/>
      <c r="I10" s="69"/>
      <c r="J10" s="69"/>
      <c r="K10" s="69"/>
      <c r="L10" s="69"/>
      <c r="M10" s="69"/>
      <c r="N10" s="69"/>
      <c r="O10" s="69"/>
      <c r="P10" s="69"/>
      <c r="Q10" s="69"/>
      <c r="R10" s="69"/>
      <c r="S10" s="69"/>
      <c r="T10" s="69"/>
      <c r="U10" s="69"/>
    </row>
    <row r="11" spans="1:21" x14ac:dyDescent="0.25">
      <c r="A11" s="89"/>
      <c r="B11" s="89" t="s">
        <v>89</v>
      </c>
      <c r="C11" s="89" t="s">
        <v>141</v>
      </c>
      <c r="D11" s="89" t="s">
        <v>148</v>
      </c>
      <c r="E11" s="69"/>
      <c r="F11" s="69"/>
      <c r="G11" s="69"/>
      <c r="H11" s="69"/>
      <c r="I11" s="69"/>
      <c r="J11" s="69"/>
      <c r="K11" s="69"/>
      <c r="L11" s="69"/>
      <c r="M11" s="69"/>
      <c r="N11" s="69"/>
      <c r="O11" s="69"/>
      <c r="P11" s="69"/>
      <c r="Q11" s="69"/>
      <c r="R11" s="69"/>
      <c r="S11" s="69"/>
      <c r="T11" s="69"/>
      <c r="U11" s="69"/>
    </row>
    <row r="12" spans="1:21" x14ac:dyDescent="0.25">
      <c r="A12" s="89"/>
      <c r="B12" s="89" t="s">
        <v>87</v>
      </c>
      <c r="C12" s="89" t="s">
        <v>145</v>
      </c>
      <c r="D12" s="89" t="s">
        <v>149</v>
      </c>
      <c r="E12" s="69"/>
      <c r="F12" s="69"/>
      <c r="G12" s="69"/>
      <c r="H12" s="69"/>
      <c r="I12" s="69"/>
      <c r="J12" s="69"/>
      <c r="K12" s="69"/>
      <c r="L12" s="69"/>
      <c r="M12" s="69"/>
      <c r="N12" s="69"/>
      <c r="O12" s="69"/>
      <c r="P12" s="69"/>
      <c r="Q12" s="69"/>
      <c r="R12" s="69"/>
      <c r="S12" s="69"/>
      <c r="T12" s="69"/>
      <c r="U12" s="69"/>
    </row>
    <row r="13" spans="1:21" x14ac:dyDescent="0.25">
      <c r="A13" s="89"/>
      <c r="B13" s="89"/>
      <c r="C13" s="89" t="s">
        <v>144</v>
      </c>
      <c r="D13" s="89" t="s">
        <v>150</v>
      </c>
      <c r="E13" s="69"/>
      <c r="F13" s="69"/>
      <c r="G13" s="69"/>
      <c r="H13" s="69"/>
      <c r="I13" s="69"/>
      <c r="J13" s="69"/>
      <c r="K13" s="69"/>
      <c r="L13" s="69"/>
      <c r="M13" s="69"/>
      <c r="N13" s="69"/>
      <c r="O13" s="69"/>
      <c r="P13" s="69"/>
      <c r="Q13" s="69"/>
      <c r="R13" s="69"/>
      <c r="S13" s="69"/>
      <c r="T13" s="69"/>
      <c r="U13" s="69"/>
    </row>
    <row r="14" spans="1:21" x14ac:dyDescent="0.25">
      <c r="A14" s="89"/>
      <c r="B14" s="89"/>
      <c r="C14" s="89" t="s">
        <v>146</v>
      </c>
      <c r="D14" s="89" t="s">
        <v>151</v>
      </c>
      <c r="E14" s="69"/>
      <c r="F14" s="69"/>
      <c r="G14" s="69"/>
      <c r="H14" s="69"/>
      <c r="I14" s="69"/>
      <c r="J14" s="69"/>
      <c r="K14" s="69"/>
      <c r="L14" s="69"/>
      <c r="M14" s="69"/>
      <c r="N14" s="69"/>
      <c r="O14" s="69"/>
      <c r="P14" s="69"/>
      <c r="Q14" s="69"/>
      <c r="R14" s="69"/>
      <c r="S14" s="69"/>
      <c r="T14" s="69"/>
      <c r="U14" s="69"/>
    </row>
    <row r="15" spans="1:21" x14ac:dyDescent="0.25">
      <c r="A15" s="89"/>
      <c r="B15" s="89"/>
      <c r="C15" s="89" t="s">
        <v>147</v>
      </c>
      <c r="D15" s="89" t="s">
        <v>152</v>
      </c>
      <c r="E15" s="69"/>
      <c r="F15" s="69"/>
      <c r="G15" s="69"/>
      <c r="H15" s="69"/>
      <c r="I15" s="69"/>
      <c r="J15" s="69"/>
      <c r="K15" s="69"/>
      <c r="L15" s="69"/>
      <c r="M15" s="69"/>
      <c r="N15" s="69"/>
      <c r="O15" s="69"/>
      <c r="P15" s="69"/>
      <c r="Q15" s="69"/>
      <c r="R15" s="69"/>
      <c r="S15" s="69"/>
      <c r="T15" s="69"/>
      <c r="U15" s="69"/>
    </row>
    <row r="16" spans="1:21" x14ac:dyDescent="0.25">
      <c r="A16" s="89"/>
      <c r="B16" s="89"/>
      <c r="C16" s="89"/>
      <c r="D16" s="89"/>
      <c r="E16" s="69"/>
      <c r="F16" s="69"/>
      <c r="G16" s="69"/>
      <c r="H16" s="69"/>
      <c r="I16" s="69"/>
      <c r="J16" s="69"/>
      <c r="K16" s="69"/>
      <c r="L16" s="69"/>
      <c r="M16" s="69"/>
      <c r="N16" s="69"/>
      <c r="O16" s="69"/>
    </row>
    <row r="17" spans="1:15" x14ac:dyDescent="0.25">
      <c r="A17" s="89"/>
      <c r="B17" s="89"/>
      <c r="C17" s="89"/>
      <c r="D17" s="89"/>
      <c r="E17" s="69"/>
      <c r="F17" s="69"/>
      <c r="G17" s="69"/>
      <c r="H17" s="69"/>
      <c r="I17" s="69"/>
      <c r="J17" s="69"/>
      <c r="K17" s="69"/>
      <c r="L17" s="69"/>
      <c r="M17" s="69"/>
      <c r="N17" s="69"/>
      <c r="O17" s="69"/>
    </row>
    <row r="18" spans="1:15" x14ac:dyDescent="0.25">
      <c r="A18" s="89"/>
      <c r="B18" s="93"/>
      <c r="C18" s="93"/>
      <c r="D18" s="93"/>
      <c r="E18" s="69"/>
      <c r="F18" s="69"/>
      <c r="G18" s="69"/>
      <c r="H18" s="69"/>
      <c r="I18" s="69"/>
      <c r="J18" s="69"/>
      <c r="K18" s="69"/>
      <c r="L18" s="69"/>
      <c r="M18" s="69"/>
      <c r="N18" s="69"/>
      <c r="O18" s="69"/>
    </row>
    <row r="19" spans="1:15" x14ac:dyDescent="0.25">
      <c r="A19" s="89"/>
      <c r="B19" s="93"/>
      <c r="C19" s="93"/>
      <c r="D19" s="93"/>
      <c r="E19" s="69"/>
      <c r="F19" s="69"/>
      <c r="G19" s="69"/>
      <c r="H19" s="69"/>
      <c r="I19" s="69"/>
      <c r="J19" s="69"/>
      <c r="K19" s="69"/>
      <c r="L19" s="69"/>
      <c r="M19" s="69"/>
      <c r="N19" s="69"/>
      <c r="O19" s="69"/>
    </row>
    <row r="20" spans="1:15" x14ac:dyDescent="0.25">
      <c r="A20" s="89"/>
      <c r="B20" s="93"/>
      <c r="C20" s="93"/>
      <c r="D20" s="93"/>
      <c r="E20" s="69"/>
      <c r="F20" s="69"/>
      <c r="G20" s="69"/>
      <c r="H20" s="69"/>
      <c r="I20" s="69"/>
      <c r="J20" s="69"/>
      <c r="K20" s="69"/>
      <c r="L20" s="69"/>
      <c r="M20" s="69"/>
      <c r="N20" s="69"/>
      <c r="O20" s="69"/>
    </row>
    <row r="21" spans="1:15" x14ac:dyDescent="0.25">
      <c r="A21" s="89"/>
      <c r="B21" s="93"/>
      <c r="C21" s="93"/>
      <c r="D21" s="93"/>
      <c r="E21" s="69"/>
      <c r="F21" s="69"/>
      <c r="G21" s="69"/>
      <c r="H21" s="69"/>
      <c r="I21" s="69"/>
      <c r="J21" s="69"/>
      <c r="K21" s="69"/>
      <c r="L21" s="69"/>
      <c r="M21" s="69"/>
      <c r="N21" s="69"/>
      <c r="O21" s="69"/>
    </row>
    <row r="22" spans="1:15" ht="20.25" x14ac:dyDescent="0.25">
      <c r="A22" s="89"/>
      <c r="B22" s="89"/>
      <c r="C22" s="91"/>
      <c r="D22" s="91"/>
      <c r="E22" s="69"/>
      <c r="F22" s="69"/>
      <c r="G22" s="69"/>
      <c r="H22" s="69"/>
      <c r="I22" s="69"/>
      <c r="J22" s="69"/>
      <c r="K22" s="69"/>
      <c r="L22" s="69"/>
      <c r="M22" s="69"/>
      <c r="N22" s="69"/>
      <c r="O22" s="69"/>
    </row>
    <row r="23" spans="1:15" ht="20.25" x14ac:dyDescent="0.25">
      <c r="A23" s="89"/>
      <c r="B23" s="89"/>
      <c r="C23" s="91"/>
      <c r="D23" s="91"/>
      <c r="E23" s="69"/>
      <c r="F23" s="69"/>
      <c r="G23" s="69"/>
      <c r="H23" s="69"/>
      <c r="I23" s="69"/>
      <c r="J23" s="69"/>
      <c r="K23" s="69"/>
      <c r="L23" s="69"/>
      <c r="M23" s="69"/>
      <c r="N23" s="69"/>
      <c r="O23" s="69"/>
    </row>
    <row r="24" spans="1:15" ht="20.25" x14ac:dyDescent="0.25">
      <c r="A24" s="89"/>
      <c r="B24" s="89"/>
      <c r="C24" s="91"/>
      <c r="D24" s="91"/>
      <c r="E24" s="69"/>
      <c r="F24" s="69"/>
      <c r="G24" s="69"/>
      <c r="H24" s="69"/>
      <c r="I24" s="69"/>
      <c r="J24" s="69"/>
      <c r="K24" s="69"/>
      <c r="L24" s="69"/>
      <c r="M24" s="69"/>
      <c r="N24" s="69"/>
      <c r="O24" s="69"/>
    </row>
    <row r="25" spans="1:15" ht="20.25" x14ac:dyDescent="0.25">
      <c r="A25" s="89"/>
      <c r="B25" s="89"/>
      <c r="C25" s="91"/>
      <c r="D25" s="91"/>
      <c r="E25" s="69"/>
      <c r="F25" s="69"/>
      <c r="G25" s="69"/>
      <c r="H25" s="69"/>
      <c r="I25" s="69"/>
      <c r="J25" s="69"/>
      <c r="K25" s="69"/>
      <c r="L25" s="69"/>
      <c r="M25" s="69"/>
      <c r="N25" s="69"/>
      <c r="O25" s="69"/>
    </row>
    <row r="26" spans="1:15" ht="20.25" x14ac:dyDescent="0.25">
      <c r="A26" s="89"/>
      <c r="B26" s="89"/>
      <c r="C26" s="91"/>
      <c r="D26" s="91"/>
      <c r="E26" s="69"/>
      <c r="F26" s="69"/>
      <c r="G26" s="69"/>
      <c r="H26" s="69"/>
      <c r="I26" s="69"/>
      <c r="J26" s="69"/>
      <c r="K26" s="69"/>
      <c r="L26" s="69"/>
      <c r="M26" s="69"/>
      <c r="N26" s="69"/>
      <c r="O26" s="69"/>
    </row>
    <row r="27" spans="1:15" ht="20.25" x14ac:dyDescent="0.25">
      <c r="A27" s="89"/>
      <c r="B27" s="89"/>
      <c r="C27" s="91"/>
      <c r="D27" s="91"/>
      <c r="E27" s="69"/>
      <c r="F27" s="69"/>
      <c r="G27" s="69"/>
      <c r="H27" s="69"/>
      <c r="I27" s="69"/>
      <c r="J27" s="69"/>
      <c r="K27" s="69"/>
      <c r="L27" s="69"/>
      <c r="M27" s="69"/>
      <c r="N27" s="69"/>
      <c r="O27" s="69"/>
    </row>
    <row r="28" spans="1:15" ht="20.25" x14ac:dyDescent="0.25">
      <c r="A28" s="89"/>
      <c r="B28" s="89"/>
      <c r="C28" s="91"/>
      <c r="D28" s="91"/>
      <c r="E28" s="69"/>
      <c r="F28" s="69"/>
      <c r="G28" s="69"/>
      <c r="H28" s="69"/>
      <c r="I28" s="69"/>
      <c r="J28" s="69"/>
      <c r="K28" s="69"/>
      <c r="L28" s="69"/>
      <c r="M28" s="69"/>
      <c r="N28" s="69"/>
      <c r="O28" s="69"/>
    </row>
    <row r="29" spans="1:15" ht="20.25" x14ac:dyDescent="0.25">
      <c r="A29" s="89"/>
      <c r="B29" s="89"/>
      <c r="C29" s="91"/>
      <c r="D29" s="91"/>
      <c r="E29" s="69"/>
      <c r="F29" s="69"/>
      <c r="G29" s="69"/>
      <c r="H29" s="69"/>
      <c r="I29" s="69"/>
      <c r="J29" s="69"/>
      <c r="K29" s="69"/>
      <c r="L29" s="69"/>
      <c r="M29" s="69"/>
      <c r="N29" s="69"/>
      <c r="O29" s="69"/>
    </row>
    <row r="30" spans="1:15" ht="20.25" x14ac:dyDescent="0.25">
      <c r="A30" s="89"/>
      <c r="B30" s="89"/>
      <c r="C30" s="91"/>
      <c r="D30" s="91"/>
      <c r="E30" s="69"/>
      <c r="F30" s="69"/>
      <c r="G30" s="69"/>
      <c r="H30" s="69"/>
      <c r="I30" s="69"/>
      <c r="J30" s="69"/>
      <c r="K30" s="69"/>
      <c r="L30" s="69"/>
      <c r="M30" s="69"/>
      <c r="N30" s="69"/>
      <c r="O30" s="69"/>
    </row>
    <row r="31" spans="1:15" ht="20.25" x14ac:dyDescent="0.25">
      <c r="A31" s="89"/>
      <c r="B31" s="89"/>
      <c r="C31" s="91"/>
      <c r="D31" s="91"/>
      <c r="E31" s="69"/>
      <c r="F31" s="69"/>
      <c r="G31" s="69"/>
      <c r="H31" s="69"/>
      <c r="I31" s="69"/>
      <c r="J31" s="69"/>
      <c r="K31" s="69"/>
      <c r="L31" s="69"/>
      <c r="M31" s="69"/>
      <c r="N31" s="69"/>
      <c r="O31" s="69"/>
    </row>
    <row r="32" spans="1:15" ht="20.25" x14ac:dyDescent="0.25">
      <c r="A32" s="89"/>
      <c r="B32" s="89"/>
      <c r="C32" s="91"/>
      <c r="D32" s="91"/>
      <c r="E32" s="69"/>
      <c r="F32" s="69"/>
      <c r="G32" s="69"/>
      <c r="H32" s="69"/>
      <c r="I32" s="69"/>
      <c r="J32" s="69"/>
      <c r="K32" s="69"/>
      <c r="L32" s="69"/>
      <c r="M32" s="69"/>
      <c r="N32" s="69"/>
      <c r="O32" s="69"/>
    </row>
    <row r="33" spans="1:15" ht="20.25" x14ac:dyDescent="0.25">
      <c r="A33" s="89"/>
      <c r="B33" s="89"/>
      <c r="C33" s="91"/>
      <c r="D33" s="91"/>
      <c r="E33" s="69"/>
      <c r="F33" s="69"/>
      <c r="G33" s="69"/>
      <c r="H33" s="69"/>
      <c r="I33" s="69"/>
      <c r="J33" s="69"/>
      <c r="K33" s="69"/>
      <c r="L33" s="69"/>
      <c r="M33" s="69"/>
      <c r="N33" s="69"/>
      <c r="O33" s="69"/>
    </row>
    <row r="34" spans="1:15" ht="20.25" x14ac:dyDescent="0.25">
      <c r="A34" s="89"/>
      <c r="B34" s="89"/>
      <c r="C34" s="91"/>
      <c r="D34" s="91"/>
      <c r="E34" s="69"/>
      <c r="F34" s="69"/>
      <c r="G34" s="69"/>
      <c r="H34" s="69"/>
      <c r="I34" s="69"/>
      <c r="J34" s="69"/>
      <c r="K34" s="69"/>
      <c r="L34" s="69"/>
      <c r="M34" s="69"/>
      <c r="N34" s="69"/>
      <c r="O34" s="69"/>
    </row>
    <row r="35" spans="1:15" ht="20.25" x14ac:dyDescent="0.25">
      <c r="A35" s="89"/>
      <c r="B35" s="89"/>
      <c r="C35" s="91"/>
      <c r="D35" s="91"/>
      <c r="E35" s="69"/>
      <c r="F35" s="69"/>
      <c r="G35" s="69"/>
      <c r="H35" s="69"/>
      <c r="I35" s="69"/>
      <c r="J35" s="69"/>
      <c r="K35" s="69"/>
      <c r="L35" s="69"/>
      <c r="M35" s="69"/>
      <c r="N35" s="69"/>
      <c r="O35" s="69"/>
    </row>
    <row r="36" spans="1:15" ht="20.25" x14ac:dyDescent="0.25">
      <c r="A36" s="89"/>
      <c r="B36" s="89"/>
      <c r="C36" s="91"/>
      <c r="D36" s="91"/>
      <c r="E36" s="69"/>
      <c r="F36" s="69"/>
      <c r="G36" s="69"/>
      <c r="H36" s="69"/>
      <c r="I36" s="69"/>
      <c r="J36" s="69"/>
      <c r="K36" s="69"/>
      <c r="L36" s="69"/>
      <c r="M36" s="69"/>
      <c r="N36" s="69"/>
      <c r="O36" s="69"/>
    </row>
    <row r="37" spans="1:15" ht="20.25" x14ac:dyDescent="0.25">
      <c r="A37" s="89"/>
      <c r="B37" s="89"/>
      <c r="C37" s="91"/>
      <c r="D37" s="91"/>
      <c r="E37" s="69"/>
      <c r="F37" s="69"/>
      <c r="G37" s="69"/>
      <c r="H37" s="69"/>
      <c r="I37" s="69"/>
      <c r="J37" s="69"/>
      <c r="K37" s="69"/>
      <c r="L37" s="69"/>
      <c r="M37" s="69"/>
      <c r="N37" s="69"/>
      <c r="O37" s="69"/>
    </row>
    <row r="38" spans="1:15" ht="20.25" x14ac:dyDescent="0.25">
      <c r="A38" s="89"/>
      <c r="B38" s="89"/>
      <c r="C38" s="91"/>
      <c r="D38" s="91"/>
      <c r="E38" s="69"/>
      <c r="F38" s="69"/>
      <c r="G38" s="69"/>
      <c r="H38" s="69"/>
      <c r="I38" s="69"/>
      <c r="J38" s="69"/>
      <c r="K38" s="69"/>
      <c r="L38" s="69"/>
      <c r="M38" s="69"/>
      <c r="N38" s="69"/>
      <c r="O38" s="69"/>
    </row>
    <row r="39" spans="1:15" ht="20.25" x14ac:dyDescent="0.25">
      <c r="A39" s="89"/>
      <c r="B39" s="89"/>
      <c r="C39" s="91"/>
      <c r="D39" s="91"/>
      <c r="E39" s="69"/>
      <c r="F39" s="69"/>
      <c r="G39" s="69"/>
      <c r="H39" s="69"/>
      <c r="I39" s="69"/>
      <c r="J39" s="69"/>
      <c r="K39" s="69"/>
      <c r="L39" s="69"/>
      <c r="M39" s="69"/>
      <c r="N39" s="69"/>
      <c r="O39" s="69"/>
    </row>
    <row r="40" spans="1:15" ht="20.25" x14ac:dyDescent="0.25">
      <c r="A40" s="89"/>
      <c r="B40" s="89"/>
      <c r="C40" s="91"/>
      <c r="D40" s="91"/>
      <c r="E40" s="69"/>
      <c r="F40" s="69"/>
      <c r="G40" s="69"/>
      <c r="H40" s="69"/>
      <c r="I40" s="69"/>
      <c r="J40" s="69"/>
      <c r="K40" s="69"/>
      <c r="L40" s="69"/>
      <c r="M40" s="69"/>
      <c r="N40" s="69"/>
      <c r="O40" s="69"/>
    </row>
    <row r="41" spans="1:15" ht="20.25" x14ac:dyDescent="0.25">
      <c r="A41" s="89"/>
      <c r="B41" s="89"/>
      <c r="C41" s="91"/>
      <c r="D41" s="91"/>
      <c r="E41" s="69"/>
      <c r="F41" s="69"/>
      <c r="G41" s="69"/>
      <c r="H41" s="69"/>
      <c r="I41" s="69"/>
      <c r="J41" s="69"/>
      <c r="K41" s="69"/>
      <c r="L41" s="69"/>
      <c r="M41" s="69"/>
      <c r="N41" s="69"/>
      <c r="O41" s="69"/>
    </row>
    <row r="42" spans="1:15" ht="20.25" x14ac:dyDescent="0.25">
      <c r="A42" s="89"/>
      <c r="B42" s="89"/>
      <c r="C42" s="91"/>
      <c r="D42" s="91"/>
      <c r="E42" s="69"/>
      <c r="F42" s="69"/>
      <c r="G42" s="69"/>
      <c r="H42" s="69"/>
      <c r="I42" s="69"/>
      <c r="J42" s="69"/>
      <c r="K42" s="69"/>
      <c r="L42" s="69"/>
      <c r="M42" s="69"/>
      <c r="N42" s="69"/>
      <c r="O42" s="69"/>
    </row>
    <row r="43" spans="1:15" ht="20.25" x14ac:dyDescent="0.25">
      <c r="A43" s="89"/>
      <c r="B43" s="89"/>
      <c r="C43" s="91"/>
      <c r="D43" s="91"/>
      <c r="E43" s="69"/>
      <c r="F43" s="69"/>
      <c r="G43" s="69"/>
      <c r="H43" s="69"/>
      <c r="I43" s="69"/>
      <c r="J43" s="69"/>
      <c r="K43" s="69"/>
      <c r="L43" s="69"/>
      <c r="M43" s="69"/>
      <c r="N43" s="69"/>
      <c r="O43" s="69"/>
    </row>
    <row r="44" spans="1:15" ht="20.25" x14ac:dyDescent="0.25">
      <c r="A44" s="89"/>
      <c r="B44" s="89"/>
      <c r="C44" s="91"/>
      <c r="D44" s="91"/>
      <c r="E44" s="69"/>
      <c r="F44" s="69"/>
      <c r="G44" s="69"/>
      <c r="H44" s="69"/>
      <c r="I44" s="69"/>
      <c r="J44" s="69"/>
      <c r="K44" s="69"/>
      <c r="L44" s="69"/>
      <c r="M44" s="69"/>
      <c r="N44" s="69"/>
      <c r="O44" s="69"/>
    </row>
    <row r="45" spans="1:15" ht="20.25" x14ac:dyDescent="0.25">
      <c r="A45" s="89"/>
      <c r="B45" s="89"/>
      <c r="C45" s="91"/>
      <c r="D45" s="91"/>
      <c r="E45" s="69"/>
      <c r="F45" s="69"/>
      <c r="G45" s="69"/>
      <c r="H45" s="69"/>
      <c r="I45" s="69"/>
      <c r="J45" s="69"/>
      <c r="K45" s="69"/>
      <c r="L45" s="69"/>
      <c r="M45" s="69"/>
      <c r="N45" s="69"/>
      <c r="O45" s="69"/>
    </row>
    <row r="46" spans="1:15" ht="20.25" x14ac:dyDescent="0.25">
      <c r="A46" s="89"/>
      <c r="B46" s="89"/>
      <c r="C46" s="91"/>
      <c r="D46" s="91"/>
      <c r="E46" s="69"/>
      <c r="F46" s="69"/>
      <c r="G46" s="69"/>
      <c r="H46" s="69"/>
      <c r="I46" s="69"/>
      <c r="J46" s="69"/>
      <c r="K46" s="69"/>
      <c r="L46" s="69"/>
      <c r="M46" s="69"/>
      <c r="N46" s="69"/>
      <c r="O46" s="69"/>
    </row>
    <row r="47" spans="1:15" ht="20.25" x14ac:dyDescent="0.25">
      <c r="A47" s="89"/>
      <c r="B47" s="89"/>
      <c r="C47" s="91"/>
      <c r="D47" s="91"/>
      <c r="E47" s="69"/>
      <c r="F47" s="69"/>
      <c r="G47" s="69"/>
      <c r="H47" s="69"/>
      <c r="I47" s="69"/>
      <c r="J47" s="69"/>
      <c r="K47" s="69"/>
      <c r="L47" s="69"/>
      <c r="M47" s="69"/>
      <c r="N47" s="69"/>
      <c r="O47" s="69"/>
    </row>
    <row r="48" spans="1:15" ht="20.25" x14ac:dyDescent="0.25">
      <c r="A48" s="89"/>
      <c r="B48" s="89"/>
      <c r="C48" s="91"/>
      <c r="D48" s="91"/>
      <c r="E48" s="69"/>
      <c r="F48" s="69"/>
      <c r="G48" s="69"/>
      <c r="H48" s="69"/>
      <c r="I48" s="69"/>
      <c r="J48" s="69"/>
      <c r="K48" s="69"/>
      <c r="L48" s="69"/>
      <c r="M48" s="69"/>
      <c r="N48" s="69"/>
      <c r="O48" s="69"/>
    </row>
    <row r="49" spans="1:15" ht="20.25" x14ac:dyDescent="0.25">
      <c r="A49" s="89"/>
      <c r="B49" s="89"/>
      <c r="C49" s="91"/>
      <c r="D49" s="91"/>
      <c r="E49" s="69"/>
      <c r="F49" s="69"/>
      <c r="G49" s="69"/>
      <c r="H49" s="69"/>
      <c r="I49" s="69"/>
      <c r="J49" s="69"/>
      <c r="K49" s="69"/>
      <c r="L49" s="69"/>
      <c r="M49" s="69"/>
      <c r="N49" s="69"/>
      <c r="O49" s="69"/>
    </row>
    <row r="50" spans="1:15" ht="20.25" x14ac:dyDescent="0.25">
      <c r="A50" s="89"/>
      <c r="B50" s="89"/>
      <c r="C50" s="91"/>
      <c r="D50" s="91"/>
      <c r="E50" s="69"/>
      <c r="F50" s="69"/>
      <c r="G50" s="69"/>
      <c r="H50" s="69"/>
      <c r="I50" s="69"/>
      <c r="J50" s="69"/>
      <c r="K50" s="69"/>
      <c r="L50" s="69"/>
      <c r="M50" s="69"/>
      <c r="N50" s="69"/>
      <c r="O50" s="69"/>
    </row>
    <row r="51" spans="1:15" ht="20.25" x14ac:dyDescent="0.25">
      <c r="A51" s="89"/>
      <c r="B51" s="89"/>
      <c r="C51" s="91"/>
      <c r="D51" s="91"/>
      <c r="E51" s="69"/>
      <c r="F51" s="69"/>
      <c r="G51" s="69"/>
      <c r="H51" s="69"/>
      <c r="I51" s="69"/>
      <c r="J51" s="69"/>
      <c r="K51" s="69"/>
      <c r="L51" s="69"/>
      <c r="M51" s="69"/>
      <c r="N51" s="69"/>
      <c r="O51" s="69"/>
    </row>
    <row r="52" spans="1:15" ht="20.25" x14ac:dyDescent="0.25">
      <c r="A52" s="89"/>
      <c r="B52" s="15"/>
      <c r="C52" s="20"/>
      <c r="D52" s="20"/>
    </row>
    <row r="53" spans="1:15" ht="20.25" x14ac:dyDescent="0.25">
      <c r="A53" s="89"/>
      <c r="B53" s="15"/>
      <c r="C53" s="20"/>
      <c r="D53" s="20"/>
    </row>
    <row r="54" spans="1:15" ht="20.25" x14ac:dyDescent="0.25">
      <c r="A54" s="89"/>
      <c r="B54" s="15"/>
      <c r="C54" s="20"/>
      <c r="D54" s="20"/>
    </row>
    <row r="55" spans="1:15" ht="20.25" x14ac:dyDescent="0.25">
      <c r="A55" s="89"/>
      <c r="B55" s="15"/>
      <c r="C55" s="20"/>
      <c r="D55" s="20"/>
    </row>
    <row r="56" spans="1:15" ht="20.25" x14ac:dyDescent="0.25">
      <c r="A56" s="89"/>
      <c r="B56" s="15"/>
      <c r="C56" s="20"/>
      <c r="D56" s="20"/>
    </row>
    <row r="57" spans="1:15" ht="20.25" x14ac:dyDescent="0.25">
      <c r="A57" s="89"/>
      <c r="B57" s="15"/>
      <c r="C57" s="20"/>
      <c r="D57" s="20"/>
    </row>
    <row r="58" spans="1:15" ht="20.25" x14ac:dyDescent="0.25">
      <c r="A58" s="89"/>
      <c r="B58" s="15"/>
      <c r="C58" s="20"/>
      <c r="D58" s="20"/>
    </row>
    <row r="59" spans="1:15" ht="20.25" x14ac:dyDescent="0.25">
      <c r="A59" s="89"/>
      <c r="B59" s="15"/>
      <c r="C59" s="20"/>
      <c r="D59" s="20"/>
    </row>
    <row r="60" spans="1:15" ht="20.25" x14ac:dyDescent="0.25">
      <c r="A60" s="89"/>
      <c r="B60" s="15"/>
      <c r="C60" s="20"/>
      <c r="D60" s="20"/>
    </row>
    <row r="61" spans="1:15" ht="20.25" x14ac:dyDescent="0.25">
      <c r="A61" s="89"/>
      <c r="B61" s="15"/>
      <c r="C61" s="20"/>
      <c r="D61" s="20"/>
    </row>
    <row r="62" spans="1:15" ht="20.25" x14ac:dyDescent="0.25">
      <c r="A62" s="89"/>
      <c r="B62" s="15"/>
      <c r="C62" s="20"/>
      <c r="D62" s="20"/>
    </row>
    <row r="63" spans="1:15" ht="20.25" x14ac:dyDescent="0.25">
      <c r="A63" s="89"/>
      <c r="B63" s="15"/>
      <c r="C63" s="20"/>
      <c r="D63" s="20"/>
    </row>
    <row r="64" spans="1:15" ht="20.25" x14ac:dyDescent="0.25">
      <c r="A64" s="89"/>
      <c r="B64" s="15"/>
      <c r="C64" s="20"/>
      <c r="D64" s="20"/>
    </row>
    <row r="65" spans="1:4" ht="20.25" x14ac:dyDescent="0.25">
      <c r="A65" s="89"/>
      <c r="B65" s="15"/>
      <c r="C65" s="20"/>
      <c r="D65" s="20"/>
    </row>
    <row r="66" spans="1:4" ht="20.25" x14ac:dyDescent="0.25">
      <c r="A66" s="89"/>
      <c r="B66" s="15"/>
      <c r="C66" s="20"/>
      <c r="D66" s="20"/>
    </row>
    <row r="67" spans="1:4" ht="20.25" x14ac:dyDescent="0.25">
      <c r="A67" s="89"/>
      <c r="B67" s="15"/>
      <c r="C67" s="20"/>
      <c r="D67" s="20"/>
    </row>
    <row r="68" spans="1:4" ht="20.25" x14ac:dyDescent="0.25">
      <c r="A68" s="89"/>
      <c r="B68" s="15"/>
      <c r="C68" s="20"/>
      <c r="D68" s="20"/>
    </row>
    <row r="69" spans="1:4" ht="20.25" x14ac:dyDescent="0.25">
      <c r="A69" s="89"/>
      <c r="B69" s="15"/>
      <c r="C69" s="20"/>
      <c r="D69" s="20"/>
    </row>
    <row r="70" spans="1:4" ht="20.25" x14ac:dyDescent="0.25">
      <c r="A70" s="89"/>
      <c r="B70" s="15"/>
      <c r="C70" s="20"/>
      <c r="D70" s="20"/>
    </row>
    <row r="71" spans="1:4" ht="20.25" x14ac:dyDescent="0.25">
      <c r="A71" s="89"/>
      <c r="B71" s="15"/>
      <c r="C71" s="20"/>
      <c r="D71" s="20"/>
    </row>
    <row r="72" spans="1:4" ht="20.25" x14ac:dyDescent="0.25">
      <c r="A72" s="89"/>
      <c r="B72" s="15"/>
      <c r="C72" s="20"/>
      <c r="D72" s="20"/>
    </row>
    <row r="73" spans="1:4" ht="20.25" x14ac:dyDescent="0.25">
      <c r="A73" s="89"/>
      <c r="B73" s="15"/>
      <c r="C73" s="20"/>
      <c r="D73" s="20"/>
    </row>
    <row r="74" spans="1:4" ht="20.25" x14ac:dyDescent="0.25">
      <c r="A74" s="89"/>
      <c r="B74" s="15"/>
      <c r="C74" s="20"/>
      <c r="D74" s="20"/>
    </row>
    <row r="75" spans="1:4" ht="20.25" x14ac:dyDescent="0.25">
      <c r="A75" s="89"/>
      <c r="B75" s="15"/>
      <c r="C75" s="20"/>
      <c r="D75" s="20"/>
    </row>
    <row r="76" spans="1:4" ht="20.25" x14ac:dyDescent="0.25">
      <c r="A76" s="89"/>
      <c r="B76" s="15"/>
      <c r="C76" s="20"/>
      <c r="D76" s="20"/>
    </row>
    <row r="77" spans="1:4" ht="20.25" x14ac:dyDescent="0.25">
      <c r="A77" s="89"/>
      <c r="B77" s="15"/>
      <c r="C77" s="20"/>
      <c r="D77" s="20"/>
    </row>
    <row r="78" spans="1:4" ht="20.25" x14ac:dyDescent="0.25">
      <c r="A78" s="89"/>
      <c r="B78" s="15"/>
      <c r="C78" s="20"/>
      <c r="D78" s="20"/>
    </row>
    <row r="79" spans="1:4" ht="20.25" x14ac:dyDescent="0.25">
      <c r="A79" s="89"/>
      <c r="B79" s="15"/>
      <c r="C79" s="20"/>
      <c r="D79" s="20"/>
    </row>
    <row r="80" spans="1:4" ht="20.25" x14ac:dyDescent="0.25">
      <c r="A80" s="89"/>
      <c r="B80" s="15"/>
      <c r="C80" s="20"/>
      <c r="D80" s="20"/>
    </row>
    <row r="81" spans="1:4" ht="20.25" x14ac:dyDescent="0.25">
      <c r="A81" s="89"/>
      <c r="B81" s="15"/>
      <c r="C81" s="20"/>
      <c r="D81" s="20"/>
    </row>
    <row r="82" spans="1:4" ht="20.25" x14ac:dyDescent="0.25">
      <c r="A82" s="89"/>
      <c r="B82" s="15"/>
      <c r="C82" s="20"/>
      <c r="D82" s="20"/>
    </row>
    <row r="83" spans="1:4" ht="20.25" x14ac:dyDescent="0.25">
      <c r="A83" s="89"/>
      <c r="B83" s="15"/>
      <c r="C83" s="20"/>
      <c r="D83" s="20"/>
    </row>
    <row r="84" spans="1:4" ht="20.25" x14ac:dyDescent="0.25">
      <c r="A84" s="89"/>
      <c r="B84" s="15"/>
      <c r="C84" s="20"/>
      <c r="D84" s="20"/>
    </row>
    <row r="85" spans="1:4" ht="20.25" x14ac:dyDescent="0.25">
      <c r="A85" s="89"/>
      <c r="B85" s="15"/>
      <c r="C85" s="20"/>
      <c r="D85" s="20"/>
    </row>
    <row r="86" spans="1:4" ht="20.25" x14ac:dyDescent="0.25">
      <c r="A86" s="89"/>
      <c r="B86" s="15"/>
      <c r="C86" s="20"/>
      <c r="D86" s="20"/>
    </row>
    <row r="87" spans="1:4" ht="20.25" x14ac:dyDescent="0.25">
      <c r="A87" s="89"/>
      <c r="B87" s="15"/>
      <c r="C87" s="20"/>
      <c r="D87" s="20"/>
    </row>
    <row r="88" spans="1:4" ht="20.25" x14ac:dyDescent="0.25">
      <c r="A88" s="89"/>
      <c r="B88" s="15"/>
      <c r="C88" s="20"/>
      <c r="D88" s="20"/>
    </row>
    <row r="89" spans="1:4" ht="20.25" x14ac:dyDescent="0.25">
      <c r="A89" s="89"/>
      <c r="B89" s="15"/>
      <c r="C89" s="20"/>
      <c r="D89" s="20"/>
    </row>
    <row r="90" spans="1:4" ht="20.25" x14ac:dyDescent="0.25">
      <c r="A90" s="89"/>
      <c r="B90" s="15"/>
      <c r="C90" s="20"/>
      <c r="D90" s="20"/>
    </row>
    <row r="91" spans="1:4" ht="20.25" x14ac:dyDescent="0.25">
      <c r="A91" s="89"/>
      <c r="B91" s="15"/>
      <c r="C91" s="20"/>
      <c r="D91" s="20"/>
    </row>
    <row r="92" spans="1:4" ht="20.25" x14ac:dyDescent="0.25">
      <c r="A92" s="89"/>
      <c r="B92" s="15"/>
      <c r="C92" s="20"/>
      <c r="D92" s="20"/>
    </row>
    <row r="93" spans="1:4" ht="20.25" x14ac:dyDescent="0.25">
      <c r="A93" s="89"/>
      <c r="B93" s="15"/>
      <c r="C93" s="20"/>
      <c r="D93" s="20"/>
    </row>
    <row r="94" spans="1:4" ht="20.25" x14ac:dyDescent="0.25">
      <c r="A94" s="89"/>
      <c r="B94" s="15"/>
      <c r="C94" s="20"/>
      <c r="D94" s="20"/>
    </row>
    <row r="95" spans="1:4" ht="20.25" x14ac:dyDescent="0.25">
      <c r="A95" s="89"/>
      <c r="B95" s="15"/>
      <c r="C95" s="20"/>
      <c r="D95" s="20"/>
    </row>
    <row r="96" spans="1:4" ht="20.25" x14ac:dyDescent="0.25">
      <c r="A96" s="89"/>
      <c r="B96" s="15"/>
      <c r="C96" s="20"/>
      <c r="D96" s="20"/>
    </row>
    <row r="97" spans="1:4" ht="20.25" x14ac:dyDescent="0.25">
      <c r="A97" s="89"/>
      <c r="B97" s="15"/>
      <c r="C97" s="20"/>
      <c r="D97" s="20"/>
    </row>
    <row r="98" spans="1:4" ht="20.25" x14ac:dyDescent="0.25">
      <c r="A98" s="89"/>
      <c r="B98" s="15"/>
      <c r="C98" s="20"/>
      <c r="D98" s="20"/>
    </row>
    <row r="99" spans="1:4" ht="20.25" x14ac:dyDescent="0.25">
      <c r="A99" s="89"/>
      <c r="B99" s="15"/>
      <c r="C99" s="20"/>
      <c r="D99" s="20"/>
    </row>
    <row r="100" spans="1:4" ht="20.25" x14ac:dyDescent="0.25">
      <c r="A100" s="89"/>
      <c r="B100" s="15"/>
      <c r="C100" s="20"/>
      <c r="D100" s="20"/>
    </row>
    <row r="101" spans="1:4" ht="20.25" x14ac:dyDescent="0.25">
      <c r="A101" s="89"/>
      <c r="B101" s="15"/>
      <c r="C101" s="20"/>
      <c r="D101" s="20"/>
    </row>
    <row r="102" spans="1:4" ht="20.25" x14ac:dyDescent="0.25">
      <c r="A102" s="89"/>
      <c r="B102" s="15"/>
      <c r="C102" s="20"/>
      <c r="D102" s="20"/>
    </row>
    <row r="103" spans="1:4" ht="20.25" x14ac:dyDescent="0.25">
      <c r="A103" s="89"/>
      <c r="B103" s="15"/>
      <c r="C103" s="20"/>
      <c r="D103" s="20"/>
    </row>
    <row r="104" spans="1:4" ht="20.25" x14ac:dyDescent="0.25">
      <c r="A104" s="89"/>
      <c r="B104" s="15"/>
      <c r="C104" s="20"/>
      <c r="D104" s="20"/>
    </row>
    <row r="105" spans="1:4" ht="20.25" x14ac:dyDescent="0.25">
      <c r="A105" s="89"/>
      <c r="B105" s="15"/>
      <c r="C105" s="20"/>
      <c r="D105" s="20"/>
    </row>
    <row r="106" spans="1:4" ht="20.25" x14ac:dyDescent="0.25">
      <c r="A106" s="89"/>
      <c r="B106" s="15"/>
      <c r="C106" s="20"/>
      <c r="D106" s="20"/>
    </row>
    <row r="107" spans="1:4" ht="20.25" x14ac:dyDescent="0.25">
      <c r="A107" s="89"/>
      <c r="B107" s="15"/>
      <c r="C107" s="20"/>
      <c r="D107" s="20"/>
    </row>
    <row r="108" spans="1:4" ht="20.25" x14ac:dyDescent="0.25">
      <c r="A108" s="89"/>
      <c r="B108" s="15"/>
      <c r="C108" s="20"/>
      <c r="D108" s="20"/>
    </row>
    <row r="109" spans="1:4" ht="20.25" x14ac:dyDescent="0.25">
      <c r="A109" s="89"/>
      <c r="B109" s="15"/>
      <c r="C109" s="20"/>
      <c r="D109" s="20"/>
    </row>
    <row r="110" spans="1:4" ht="20.25" x14ac:dyDescent="0.25">
      <c r="A110" s="89"/>
      <c r="B110" s="15"/>
      <c r="C110" s="20"/>
      <c r="D110" s="20"/>
    </row>
    <row r="111" spans="1:4" ht="20.25" x14ac:dyDescent="0.25">
      <c r="A111" s="89"/>
      <c r="B111" s="15"/>
      <c r="C111" s="20"/>
      <c r="D111" s="20"/>
    </row>
    <row r="112" spans="1:4" ht="20.25" x14ac:dyDescent="0.25">
      <c r="A112" s="89"/>
      <c r="B112" s="15"/>
      <c r="C112" s="20"/>
      <c r="D112" s="20"/>
    </row>
    <row r="113" spans="1:4" ht="20.25" x14ac:dyDescent="0.25">
      <c r="A113" s="89"/>
      <c r="B113" s="15"/>
      <c r="C113" s="20"/>
      <c r="D113" s="20"/>
    </row>
    <row r="114" spans="1:4" ht="20.25" x14ac:dyDescent="0.25">
      <c r="A114" s="89"/>
      <c r="B114" s="15"/>
      <c r="C114" s="20"/>
      <c r="D114" s="20"/>
    </row>
    <row r="115" spans="1:4" ht="20.25" x14ac:dyDescent="0.25">
      <c r="A115" s="89"/>
      <c r="B115" s="15"/>
      <c r="C115" s="20"/>
      <c r="D115" s="20"/>
    </row>
    <row r="116" spans="1:4" ht="20.25" x14ac:dyDescent="0.25">
      <c r="A116" s="89"/>
      <c r="B116" s="15"/>
      <c r="C116" s="20"/>
      <c r="D116" s="20"/>
    </row>
    <row r="117" spans="1:4" ht="20.25" x14ac:dyDescent="0.25">
      <c r="A117" s="89"/>
      <c r="B117" s="15"/>
      <c r="C117" s="20"/>
      <c r="D117" s="20"/>
    </row>
    <row r="118" spans="1:4" ht="20.25" x14ac:dyDescent="0.25">
      <c r="A118" s="89"/>
      <c r="B118" s="15"/>
      <c r="C118" s="20"/>
      <c r="D118" s="20"/>
    </row>
    <row r="119" spans="1:4" ht="20.25" x14ac:dyDescent="0.25">
      <c r="A119" s="89"/>
      <c r="B119" s="15"/>
      <c r="C119" s="20"/>
      <c r="D119" s="20"/>
    </row>
    <row r="120" spans="1:4" ht="20.25" x14ac:dyDescent="0.25">
      <c r="A120" s="89"/>
      <c r="B120" s="15"/>
      <c r="C120" s="20"/>
      <c r="D120" s="20"/>
    </row>
    <row r="121" spans="1:4" ht="20.25" x14ac:dyDescent="0.25">
      <c r="A121" s="89"/>
      <c r="B121" s="15"/>
      <c r="C121" s="20"/>
      <c r="D121" s="20"/>
    </row>
    <row r="122" spans="1:4" ht="20.25" x14ac:dyDescent="0.25">
      <c r="A122" s="89"/>
      <c r="B122" s="15"/>
      <c r="C122" s="20"/>
      <c r="D122" s="20"/>
    </row>
    <row r="123" spans="1:4" ht="20.25" x14ac:dyDescent="0.25">
      <c r="A123" s="89"/>
      <c r="B123" s="15"/>
      <c r="C123" s="20"/>
      <c r="D123" s="20"/>
    </row>
    <row r="124" spans="1:4" ht="20.25" x14ac:dyDescent="0.25">
      <c r="A124" s="89"/>
      <c r="B124" s="15"/>
      <c r="C124" s="20"/>
      <c r="D124" s="20"/>
    </row>
    <row r="125" spans="1:4" ht="20.25" x14ac:dyDescent="0.25">
      <c r="A125" s="89"/>
      <c r="B125" s="15"/>
      <c r="C125" s="20"/>
      <c r="D125" s="20"/>
    </row>
    <row r="126" spans="1:4" ht="20.25" x14ac:dyDescent="0.25">
      <c r="A126" s="89"/>
      <c r="B126" s="15"/>
      <c r="C126" s="20"/>
      <c r="D126" s="20"/>
    </row>
    <row r="127" spans="1:4" ht="20.25" x14ac:dyDescent="0.25">
      <c r="A127" s="89"/>
      <c r="B127" s="15"/>
      <c r="C127" s="20"/>
      <c r="D127" s="20"/>
    </row>
    <row r="128" spans="1:4" ht="20.25" x14ac:dyDescent="0.25">
      <c r="A128" s="89"/>
      <c r="B128" s="15"/>
      <c r="C128" s="20"/>
      <c r="D128" s="20"/>
    </row>
    <row r="129" spans="1:4" ht="20.25" x14ac:dyDescent="0.25">
      <c r="A129" s="89"/>
      <c r="B129" s="15"/>
      <c r="C129" s="20"/>
      <c r="D129" s="20"/>
    </row>
    <row r="130" spans="1:4" ht="20.25" x14ac:dyDescent="0.25">
      <c r="A130" s="89"/>
      <c r="B130" s="15"/>
      <c r="C130" s="20"/>
      <c r="D130" s="20"/>
    </row>
    <row r="131" spans="1:4" ht="20.25" x14ac:dyDescent="0.25">
      <c r="A131" s="89"/>
      <c r="B131" s="15"/>
      <c r="C131" s="20"/>
      <c r="D131" s="20"/>
    </row>
    <row r="132" spans="1:4" ht="20.25" x14ac:dyDescent="0.25">
      <c r="A132" s="89"/>
      <c r="B132" s="15"/>
      <c r="C132" s="20"/>
      <c r="D132" s="20"/>
    </row>
    <row r="133" spans="1:4" ht="20.25" x14ac:dyDescent="0.25">
      <c r="A133" s="89"/>
      <c r="B133" s="15"/>
      <c r="C133" s="20"/>
      <c r="D133" s="20"/>
    </row>
    <row r="134" spans="1:4" ht="20.25" x14ac:dyDescent="0.25">
      <c r="A134" s="89"/>
      <c r="B134" s="15"/>
      <c r="C134" s="20"/>
      <c r="D134" s="20"/>
    </row>
    <row r="135" spans="1:4" ht="20.25" x14ac:dyDescent="0.25">
      <c r="A135" s="89"/>
      <c r="B135" s="15"/>
      <c r="C135" s="20"/>
      <c r="D135" s="20"/>
    </row>
    <row r="136" spans="1:4" ht="20.25" x14ac:dyDescent="0.25">
      <c r="A136" s="89"/>
      <c r="B136" s="15"/>
      <c r="C136" s="20"/>
      <c r="D136" s="20"/>
    </row>
    <row r="137" spans="1:4" ht="20.25" x14ac:dyDescent="0.25">
      <c r="A137" s="89"/>
      <c r="B137" s="15"/>
      <c r="C137" s="20"/>
      <c r="D137" s="20"/>
    </row>
    <row r="138" spans="1:4" ht="20.25" x14ac:dyDescent="0.25">
      <c r="A138" s="89"/>
      <c r="B138" s="15"/>
      <c r="C138" s="20"/>
      <c r="D138" s="20"/>
    </row>
    <row r="139" spans="1:4" ht="20.25" x14ac:dyDescent="0.25">
      <c r="A139" s="89"/>
      <c r="B139" s="15"/>
      <c r="C139" s="20"/>
      <c r="D139" s="20"/>
    </row>
    <row r="140" spans="1:4" ht="20.25" x14ac:dyDescent="0.25">
      <c r="A140" s="89"/>
      <c r="B140" s="15"/>
      <c r="C140" s="20"/>
      <c r="D140" s="20"/>
    </row>
    <row r="141" spans="1:4" ht="20.25" x14ac:dyDescent="0.25">
      <c r="A141" s="89"/>
      <c r="B141" s="15"/>
      <c r="C141" s="20"/>
      <c r="D141" s="20"/>
    </row>
    <row r="142" spans="1:4" ht="20.25" x14ac:dyDescent="0.25">
      <c r="A142" s="89"/>
      <c r="B142" s="15"/>
      <c r="C142" s="20"/>
      <c r="D142" s="20"/>
    </row>
    <row r="143" spans="1:4" ht="20.25" x14ac:dyDescent="0.25">
      <c r="A143" s="89"/>
      <c r="B143" s="15"/>
      <c r="C143" s="20"/>
      <c r="D143" s="20"/>
    </row>
    <row r="144" spans="1:4" ht="20.25" x14ac:dyDescent="0.25">
      <c r="A144" s="89"/>
      <c r="B144" s="15"/>
      <c r="C144" s="20"/>
      <c r="D144" s="20"/>
    </row>
    <row r="145" spans="1:4" ht="20.25" x14ac:dyDescent="0.25">
      <c r="A145" s="89"/>
      <c r="B145" s="15"/>
      <c r="C145" s="20"/>
      <c r="D145" s="20"/>
    </row>
    <row r="146" spans="1:4" ht="20.25" x14ac:dyDescent="0.25">
      <c r="A146" s="89"/>
      <c r="B146" s="15"/>
      <c r="C146" s="20"/>
      <c r="D146" s="20"/>
    </row>
    <row r="147" spans="1:4" ht="20.25" x14ac:dyDescent="0.25">
      <c r="A147" s="89"/>
      <c r="B147" s="15"/>
      <c r="C147" s="20"/>
      <c r="D147" s="20"/>
    </row>
    <row r="148" spans="1:4" ht="20.25" x14ac:dyDescent="0.25">
      <c r="A148" s="89"/>
      <c r="B148" s="15"/>
      <c r="C148" s="20"/>
      <c r="D148" s="20"/>
    </row>
    <row r="149" spans="1:4" ht="20.25" x14ac:dyDescent="0.25">
      <c r="A149" s="89"/>
      <c r="B149" s="15"/>
      <c r="C149" s="20"/>
      <c r="D149" s="20"/>
    </row>
    <row r="150" spans="1:4" ht="20.25" x14ac:dyDescent="0.25">
      <c r="A150" s="89"/>
      <c r="B150" s="15"/>
      <c r="C150" s="20"/>
      <c r="D150" s="20"/>
    </row>
    <row r="151" spans="1:4" ht="20.25" x14ac:dyDescent="0.25">
      <c r="A151" s="89"/>
      <c r="B151" s="15"/>
      <c r="C151" s="20"/>
      <c r="D151" s="20"/>
    </row>
    <row r="152" spans="1:4" ht="20.25" x14ac:dyDescent="0.25">
      <c r="A152" s="89"/>
      <c r="B152" s="15"/>
      <c r="C152" s="20"/>
      <c r="D152" s="20"/>
    </row>
    <row r="153" spans="1:4" ht="20.25" x14ac:dyDescent="0.25">
      <c r="A153" s="89"/>
      <c r="B153" s="15"/>
      <c r="C153" s="20"/>
      <c r="D153" s="20"/>
    </row>
    <row r="154" spans="1:4" ht="20.25" x14ac:dyDescent="0.25">
      <c r="A154" s="89"/>
      <c r="B154" s="15"/>
      <c r="C154" s="20"/>
      <c r="D154" s="20"/>
    </row>
    <row r="155" spans="1:4" ht="20.25" x14ac:dyDescent="0.25">
      <c r="A155" s="89"/>
      <c r="B155" s="15"/>
      <c r="C155" s="20"/>
      <c r="D155" s="20"/>
    </row>
    <row r="156" spans="1:4" ht="20.25" x14ac:dyDescent="0.25">
      <c r="A156" s="89"/>
      <c r="B156" s="15"/>
      <c r="C156" s="20"/>
      <c r="D156" s="20"/>
    </row>
    <row r="157" spans="1:4" ht="20.25" x14ac:dyDescent="0.25">
      <c r="A157" s="89"/>
      <c r="B157" s="15"/>
      <c r="C157" s="20"/>
      <c r="D157" s="20"/>
    </row>
    <row r="158" spans="1:4" ht="20.25" x14ac:dyDescent="0.25">
      <c r="A158" s="89"/>
      <c r="B158" s="15"/>
      <c r="C158" s="20"/>
      <c r="D158" s="20"/>
    </row>
    <row r="159" spans="1:4" ht="20.25" x14ac:dyDescent="0.25">
      <c r="A159" s="89"/>
      <c r="B159" s="15"/>
      <c r="C159" s="20"/>
      <c r="D159" s="20"/>
    </row>
    <row r="160" spans="1:4" ht="20.25" x14ac:dyDescent="0.25">
      <c r="A160" s="89"/>
      <c r="B160" s="15"/>
      <c r="C160" s="20"/>
      <c r="D160" s="20"/>
    </row>
    <row r="161" spans="1:4" ht="20.25" x14ac:dyDescent="0.25">
      <c r="A161" s="89"/>
      <c r="B161" s="15"/>
      <c r="C161" s="20"/>
      <c r="D161" s="20"/>
    </row>
    <row r="162" spans="1:4" ht="20.25" x14ac:dyDescent="0.25">
      <c r="A162" s="89"/>
      <c r="B162" s="15"/>
      <c r="C162" s="20"/>
      <c r="D162" s="20"/>
    </row>
    <row r="163" spans="1:4" ht="20.25" x14ac:dyDescent="0.25">
      <c r="A163" s="89"/>
      <c r="B163" s="15"/>
      <c r="C163" s="20"/>
      <c r="D163" s="20"/>
    </row>
    <row r="164" spans="1:4" ht="20.25" x14ac:dyDescent="0.25">
      <c r="A164" s="89"/>
      <c r="B164" s="15"/>
      <c r="C164" s="20"/>
      <c r="D164" s="20"/>
    </row>
    <row r="165" spans="1:4" ht="20.25" x14ac:dyDescent="0.25">
      <c r="A165" s="89"/>
      <c r="B165" s="15"/>
      <c r="C165" s="20"/>
      <c r="D165" s="20"/>
    </row>
    <row r="166" spans="1:4" ht="20.25" x14ac:dyDescent="0.25">
      <c r="A166" s="89"/>
      <c r="B166" s="15"/>
      <c r="C166" s="20"/>
      <c r="D166" s="20"/>
    </row>
    <row r="167" spans="1:4" ht="20.25" x14ac:dyDescent="0.25">
      <c r="A167" s="89"/>
      <c r="B167" s="15"/>
      <c r="C167" s="20"/>
      <c r="D167" s="20"/>
    </row>
    <row r="168" spans="1:4" ht="20.25" x14ac:dyDescent="0.25">
      <c r="A168" s="89"/>
      <c r="B168" s="15"/>
      <c r="C168" s="20"/>
      <c r="D168" s="20"/>
    </row>
    <row r="169" spans="1:4" ht="20.25" x14ac:dyDescent="0.25">
      <c r="A169" s="89"/>
      <c r="B169" s="15"/>
      <c r="C169" s="20"/>
      <c r="D169" s="20"/>
    </row>
    <row r="170" spans="1:4" ht="20.25" x14ac:dyDescent="0.25">
      <c r="A170" s="89"/>
      <c r="B170" s="15"/>
      <c r="C170" s="20"/>
      <c r="D170" s="20"/>
    </row>
    <row r="171" spans="1:4" ht="20.25" x14ac:dyDescent="0.25">
      <c r="A171" s="89"/>
      <c r="B171" s="15"/>
      <c r="C171" s="20"/>
      <c r="D171" s="20"/>
    </row>
    <row r="172" spans="1:4" ht="20.25" x14ac:dyDescent="0.25">
      <c r="A172" s="89"/>
      <c r="B172" s="15"/>
      <c r="C172" s="20"/>
      <c r="D172" s="20"/>
    </row>
    <row r="173" spans="1:4" ht="20.25" x14ac:dyDescent="0.25">
      <c r="A173" s="89"/>
      <c r="B173" s="15"/>
      <c r="C173" s="20"/>
      <c r="D173" s="20"/>
    </row>
    <row r="174" spans="1:4" ht="20.25" x14ac:dyDescent="0.25">
      <c r="A174" s="89"/>
      <c r="B174" s="15"/>
      <c r="C174" s="20"/>
      <c r="D174" s="20"/>
    </row>
    <row r="175" spans="1:4" ht="20.25" x14ac:dyDescent="0.25">
      <c r="A175" s="89"/>
      <c r="B175" s="15"/>
      <c r="C175" s="20"/>
      <c r="D175" s="20"/>
    </row>
    <row r="176" spans="1:4" ht="20.25" x14ac:dyDescent="0.25">
      <c r="A176" s="89"/>
      <c r="B176" s="15"/>
      <c r="C176" s="20"/>
      <c r="D176" s="20"/>
    </row>
    <row r="177" spans="1:4" ht="20.25" x14ac:dyDescent="0.25">
      <c r="A177" s="89"/>
      <c r="B177" s="15"/>
      <c r="C177" s="20"/>
      <c r="D177" s="20"/>
    </row>
    <row r="178" spans="1:4" ht="20.25" x14ac:dyDescent="0.25">
      <c r="A178" s="89"/>
      <c r="B178" s="15"/>
      <c r="C178" s="20"/>
      <c r="D178" s="20"/>
    </row>
    <row r="179" spans="1:4" ht="20.25" x14ac:dyDescent="0.25">
      <c r="A179" s="89"/>
      <c r="B179" s="15"/>
      <c r="C179" s="20"/>
      <c r="D179" s="20"/>
    </row>
    <row r="180" spans="1:4" ht="20.25" x14ac:dyDescent="0.25">
      <c r="A180" s="89"/>
      <c r="B180" s="15"/>
      <c r="C180" s="20"/>
      <c r="D180" s="20"/>
    </row>
    <row r="181" spans="1:4" ht="20.25" x14ac:dyDescent="0.25">
      <c r="A181" s="89"/>
      <c r="B181" s="15"/>
      <c r="C181" s="20"/>
      <c r="D181" s="20"/>
    </row>
    <row r="182" spans="1:4" ht="20.25" x14ac:dyDescent="0.25">
      <c r="A182" s="89"/>
      <c r="B182" s="15"/>
      <c r="C182" s="20"/>
      <c r="D182" s="20"/>
    </row>
    <row r="183" spans="1:4" ht="20.25" x14ac:dyDescent="0.25">
      <c r="A183" s="89"/>
      <c r="B183" s="15"/>
      <c r="C183" s="20"/>
      <c r="D183" s="20"/>
    </row>
    <row r="184" spans="1:4" ht="20.25" x14ac:dyDescent="0.25">
      <c r="A184" s="89"/>
      <c r="B184" s="15"/>
      <c r="C184" s="20"/>
      <c r="D184" s="20"/>
    </row>
    <row r="185" spans="1:4" ht="20.25" x14ac:dyDescent="0.25">
      <c r="A185" s="89"/>
      <c r="B185" s="15"/>
      <c r="C185" s="20"/>
      <c r="D185" s="20"/>
    </row>
    <row r="186" spans="1:4" ht="20.25" x14ac:dyDescent="0.25">
      <c r="A186" s="89"/>
      <c r="B186" s="15"/>
      <c r="C186" s="20"/>
      <c r="D186" s="20"/>
    </row>
    <row r="187" spans="1:4" ht="20.25" x14ac:dyDescent="0.25">
      <c r="A187" s="89"/>
      <c r="B187" s="15"/>
      <c r="C187" s="20"/>
      <c r="D187" s="20"/>
    </row>
    <row r="188" spans="1:4" ht="20.25" x14ac:dyDescent="0.25">
      <c r="A188" s="89"/>
      <c r="B188" s="15"/>
      <c r="C188" s="20"/>
      <c r="D188" s="20"/>
    </row>
    <row r="189" spans="1:4" ht="20.25" x14ac:dyDescent="0.25">
      <c r="A189" s="89"/>
      <c r="B189" s="15"/>
      <c r="C189" s="20"/>
      <c r="D189" s="20"/>
    </row>
    <row r="190" spans="1:4" ht="20.25" x14ac:dyDescent="0.25">
      <c r="A190" s="89"/>
      <c r="B190" s="15"/>
      <c r="C190" s="20"/>
      <c r="D190" s="20"/>
    </row>
    <row r="191" spans="1:4" ht="20.25" x14ac:dyDescent="0.25">
      <c r="A191" s="89"/>
      <c r="B191" s="15"/>
      <c r="C191" s="20"/>
      <c r="D191" s="20"/>
    </row>
    <row r="192" spans="1:4" ht="20.25" x14ac:dyDescent="0.25">
      <c r="A192" s="89"/>
      <c r="B192" s="15"/>
      <c r="C192" s="20"/>
      <c r="D192" s="20"/>
    </row>
    <row r="193" spans="1:4" ht="20.25" x14ac:dyDescent="0.25">
      <c r="A193" s="89"/>
      <c r="B193" s="15"/>
      <c r="C193" s="20"/>
      <c r="D193" s="20"/>
    </row>
    <row r="194" spans="1:4" ht="20.25" x14ac:dyDescent="0.25">
      <c r="A194" s="89"/>
      <c r="B194" s="15"/>
      <c r="C194" s="20"/>
      <c r="D194" s="20"/>
    </row>
    <row r="195" spans="1:4" ht="20.25" x14ac:dyDescent="0.25">
      <c r="A195" s="89"/>
      <c r="B195" s="15"/>
      <c r="C195" s="20"/>
      <c r="D195" s="20"/>
    </row>
    <row r="196" spans="1:4" ht="20.25" x14ac:dyDescent="0.25">
      <c r="A196" s="89"/>
      <c r="B196" s="15"/>
      <c r="C196" s="20"/>
      <c r="D196" s="20"/>
    </row>
    <row r="197" spans="1:4" ht="20.25" x14ac:dyDescent="0.25">
      <c r="A197" s="89"/>
      <c r="B197" s="15"/>
      <c r="C197" s="20"/>
      <c r="D197" s="20"/>
    </row>
    <row r="198" spans="1:4" ht="20.25" x14ac:dyDescent="0.25">
      <c r="A198" s="89"/>
      <c r="B198" s="15"/>
      <c r="C198" s="20"/>
      <c r="D198" s="20"/>
    </row>
    <row r="199" spans="1:4" ht="20.25" x14ac:dyDescent="0.25">
      <c r="A199" s="89"/>
      <c r="B199" s="15"/>
      <c r="C199" s="20"/>
      <c r="D199" s="20"/>
    </row>
    <row r="200" spans="1:4" ht="20.25" x14ac:dyDescent="0.25">
      <c r="A200" s="89"/>
      <c r="B200" s="15"/>
      <c r="C200" s="20"/>
      <c r="D200" s="20"/>
    </row>
    <row r="201" spans="1:4" ht="20.25" x14ac:dyDescent="0.25">
      <c r="A201" s="89"/>
      <c r="B201" s="15"/>
      <c r="C201" s="20"/>
      <c r="D201" s="20"/>
    </row>
    <row r="202" spans="1:4" ht="20.25" x14ac:dyDescent="0.25">
      <c r="A202" s="89"/>
      <c r="B202" s="15"/>
      <c r="C202" s="20"/>
      <c r="D202" s="20"/>
    </row>
    <row r="203" spans="1:4" ht="20.25" x14ac:dyDescent="0.25">
      <c r="A203" s="89"/>
      <c r="B203" s="15"/>
      <c r="C203" s="20"/>
      <c r="D203" s="20"/>
    </row>
    <row r="204" spans="1:4" ht="20.25" x14ac:dyDescent="0.25">
      <c r="A204" s="89"/>
      <c r="B204" s="15"/>
      <c r="C204" s="20"/>
      <c r="D204" s="20"/>
    </row>
    <row r="205" spans="1:4" ht="20.25" x14ac:dyDescent="0.25">
      <c r="A205" s="89"/>
      <c r="B205" s="15"/>
      <c r="C205" s="20"/>
      <c r="D205" s="20"/>
    </row>
    <row r="206" spans="1:4" ht="20.25" x14ac:dyDescent="0.25">
      <c r="A206" s="89"/>
      <c r="B206" s="15"/>
      <c r="C206" s="20"/>
      <c r="D206" s="20"/>
    </row>
    <row r="207" spans="1:4" ht="20.25" x14ac:dyDescent="0.25">
      <c r="A207" s="89"/>
      <c r="B207" s="15"/>
      <c r="C207" s="20"/>
      <c r="D207" s="20"/>
    </row>
    <row r="208" spans="1:4" x14ac:dyDescent="0.25">
      <c r="A208" s="69"/>
      <c r="B208" s="15"/>
      <c r="C208" s="15"/>
      <c r="D208" s="15"/>
    </row>
    <row r="209" spans="1:8" ht="20.25" x14ac:dyDescent="0.25">
      <c r="A209" s="69"/>
      <c r="B209" s="16" t="s">
        <v>86</v>
      </c>
      <c r="C209" s="16" t="s">
        <v>140</v>
      </c>
      <c r="D209" s="19" t="s">
        <v>86</v>
      </c>
      <c r="E209" s="19" t="s">
        <v>140</v>
      </c>
    </row>
    <row r="210" spans="1:8" ht="21" x14ac:dyDescent="0.35">
      <c r="A210" s="69"/>
      <c r="B210" s="17" t="s">
        <v>88</v>
      </c>
      <c r="C210" s="17" t="s">
        <v>56</v>
      </c>
      <c r="D210" t="s">
        <v>88</v>
      </c>
      <c r="F210" t="str">
        <f>IF(NOT(ISBLANK(D210)),D210,IF(NOT(ISBLANK(E210)),"     "&amp;E210,FALSE))</f>
        <v>Afectación Económica o presupuestal</v>
      </c>
      <c r="G210" t="s">
        <v>88</v>
      </c>
      <c r="H210" t="str">
        <f>IF(NOT(ISERROR(MATCH(G210,_xlfn.ANCHORARRAY(B221),0))),F223&amp;"Por favor no seleccionar los criterios de impacto",G210)</f>
        <v>❌Por favor no seleccionar los criterios de impacto</v>
      </c>
    </row>
    <row r="211" spans="1:8" ht="21" x14ac:dyDescent="0.35">
      <c r="A211" s="69"/>
      <c r="B211" s="17" t="s">
        <v>88</v>
      </c>
      <c r="C211" s="17" t="s">
        <v>91</v>
      </c>
      <c r="E211" t="s">
        <v>56</v>
      </c>
      <c r="F211" t="str">
        <f t="shared" ref="F211:F221" si="0">IF(NOT(ISBLANK(D211)),D211,IF(NOT(ISBLANK(E211)),"     "&amp;E211,FALSE))</f>
        <v xml:space="preserve">     Afectación menor a 10 SMLMV .</v>
      </c>
    </row>
    <row r="212" spans="1:8" ht="21" x14ac:dyDescent="0.35">
      <c r="A212" s="69"/>
      <c r="B212" s="17" t="s">
        <v>88</v>
      </c>
      <c r="C212" s="17" t="s">
        <v>92</v>
      </c>
      <c r="E212" t="s">
        <v>91</v>
      </c>
      <c r="F212" t="str">
        <f t="shared" si="0"/>
        <v xml:space="preserve">     Entre 10 y 50 SMLMV </v>
      </c>
    </row>
    <row r="213" spans="1:8" ht="21" x14ac:dyDescent="0.35">
      <c r="A213" s="69"/>
      <c r="B213" s="17" t="s">
        <v>88</v>
      </c>
      <c r="C213" s="17" t="s">
        <v>93</v>
      </c>
      <c r="E213" t="s">
        <v>92</v>
      </c>
      <c r="F213" t="str">
        <f t="shared" si="0"/>
        <v xml:space="preserve">     Entre 50 y 100 SMLMV </v>
      </c>
    </row>
    <row r="214" spans="1:8" ht="21" x14ac:dyDescent="0.35">
      <c r="A214" s="69"/>
      <c r="B214" s="17" t="s">
        <v>88</v>
      </c>
      <c r="C214" s="17" t="s">
        <v>94</v>
      </c>
      <c r="E214" t="s">
        <v>93</v>
      </c>
      <c r="F214" t="str">
        <f t="shared" si="0"/>
        <v xml:space="preserve">     Entre 100 y 500 SMLMV </v>
      </c>
    </row>
    <row r="215" spans="1:8" ht="21" x14ac:dyDescent="0.35">
      <c r="A215" s="69"/>
      <c r="B215" s="17" t="s">
        <v>55</v>
      </c>
      <c r="C215" s="17" t="s">
        <v>95</v>
      </c>
      <c r="E215" t="s">
        <v>94</v>
      </c>
      <c r="F215" t="str">
        <f t="shared" si="0"/>
        <v xml:space="preserve">     Mayor a 500 SMLMV </v>
      </c>
    </row>
    <row r="216" spans="1:8" ht="21" x14ac:dyDescent="0.35">
      <c r="A216" s="69"/>
      <c r="B216" s="17" t="s">
        <v>55</v>
      </c>
      <c r="C216" s="17" t="s">
        <v>96</v>
      </c>
      <c r="D216" t="s">
        <v>55</v>
      </c>
      <c r="F216" t="str">
        <f t="shared" si="0"/>
        <v>Pérdida Reputacional</v>
      </c>
    </row>
    <row r="217" spans="1:8" ht="21" x14ac:dyDescent="0.35">
      <c r="A217" s="69"/>
      <c r="B217" s="17" t="s">
        <v>55</v>
      </c>
      <c r="C217" s="17" t="s">
        <v>98</v>
      </c>
      <c r="E217" t="s">
        <v>95</v>
      </c>
      <c r="F217" t="str">
        <f t="shared" si="0"/>
        <v xml:space="preserve">     El riesgo afecta la imagen de alguna área de la organización</v>
      </c>
    </row>
    <row r="218" spans="1:8" ht="21" x14ac:dyDescent="0.35">
      <c r="A218" s="69"/>
      <c r="B218" s="17" t="s">
        <v>55</v>
      </c>
      <c r="C218" s="17" t="s">
        <v>97</v>
      </c>
      <c r="E218" t="s">
        <v>96</v>
      </c>
      <c r="F218" t="str">
        <f t="shared" si="0"/>
        <v xml:space="preserve">     El riesgo afecta la imagen de la entidad internamente, de conocimiento general, nivel interno, de junta dircetiva y accionistas y/o de provedores</v>
      </c>
    </row>
    <row r="219" spans="1:8" ht="21" x14ac:dyDescent="0.35">
      <c r="A219" s="69"/>
      <c r="B219" s="17" t="s">
        <v>55</v>
      </c>
      <c r="C219" s="17" t="s">
        <v>116</v>
      </c>
      <c r="E219" t="s">
        <v>98</v>
      </c>
      <c r="F219" t="str">
        <f t="shared" si="0"/>
        <v xml:space="preserve">     El riesgo afecta la imagen de la entidad con algunos usuarios de relevancia frente al logro de los objetivos</v>
      </c>
    </row>
    <row r="220" spans="1:8" x14ac:dyDescent="0.25">
      <c r="A220" s="69"/>
      <c r="B220" s="18"/>
      <c r="C220" s="18"/>
      <c r="E220" t="s">
        <v>97</v>
      </c>
      <c r="F220" t="str">
        <f t="shared" si="0"/>
        <v xml:space="preserve">     El riesgo afecta la imagen de de la entidad con efecto publicitario sostenido a nivel de sector administrativo, nivel departamental o municipal</v>
      </c>
    </row>
    <row r="221" spans="1:8" x14ac:dyDescent="0.25">
      <c r="A221" s="69"/>
      <c r="B221" s="18" t="str">
        <f t="array" ref="B221:B223">_xlfn.UNIQUE(Tabla1[[#All],[Criterios]])</f>
        <v>Criterios</v>
      </c>
      <c r="C221" s="18"/>
      <c r="E221" t="s">
        <v>116</v>
      </c>
      <c r="F221" t="str">
        <f t="shared" si="0"/>
        <v xml:space="preserve">     El riesgo afecta la imagen de la entidad a nivel nacional, con efecto publicitarios sostenible a nivel país</v>
      </c>
    </row>
    <row r="222" spans="1:8" x14ac:dyDescent="0.25">
      <c r="A222" s="69"/>
      <c r="B222" s="18" t="str">
        <v>Afectación Económica o presupuestal</v>
      </c>
      <c r="C222" s="18"/>
    </row>
    <row r="223" spans="1:8" x14ac:dyDescent="0.25">
      <c r="B223" s="18" t="str">
        <v>Pérdida Reputacional</v>
      </c>
      <c r="C223" s="18"/>
      <c r="F223" s="21" t="s">
        <v>142</v>
      </c>
    </row>
    <row r="224" spans="1:8" x14ac:dyDescent="0.25">
      <c r="B224" s="14"/>
      <c r="C224" s="14"/>
      <c r="F224" s="21" t="s">
        <v>143</v>
      </c>
    </row>
    <row r="225" spans="2:4" x14ac:dyDescent="0.25">
      <c r="B225" s="14"/>
      <c r="C225" s="14"/>
    </row>
    <row r="226" spans="2:4" x14ac:dyDescent="0.25">
      <c r="B226" s="14"/>
      <c r="C226" s="14"/>
    </row>
    <row r="227" spans="2:4" x14ac:dyDescent="0.25">
      <c r="B227" s="14"/>
      <c r="C227" s="14"/>
      <c r="D227" s="14"/>
    </row>
    <row r="228" spans="2:4" x14ac:dyDescent="0.25">
      <c r="B228" s="14"/>
      <c r="C228" s="14"/>
      <c r="D228" s="14"/>
    </row>
    <row r="229" spans="2:4" x14ac:dyDescent="0.25">
      <c r="B229" s="14"/>
      <c r="C229" s="14"/>
      <c r="D229" s="14"/>
    </row>
    <row r="230" spans="2:4" x14ac:dyDescent="0.25">
      <c r="B230" s="14"/>
      <c r="C230" s="14"/>
      <c r="D230" s="14"/>
    </row>
    <row r="231" spans="2:4" x14ac:dyDescent="0.25">
      <c r="B231" s="14"/>
      <c r="C231" s="14"/>
      <c r="D231" s="14"/>
    </row>
    <row r="232" spans="2:4" x14ac:dyDescent="0.25">
      <c r="B232" s="14"/>
      <c r="C232" s="14"/>
      <c r="D232" s="14"/>
    </row>
  </sheetData>
  <mergeCells count="1">
    <mergeCell ref="B1:D1"/>
  </mergeCells>
  <dataValidations disablePrompts="1" count="1">
    <dataValidation type="list" allowBlank="1" showInputMessage="1" showErrorMessage="1" sqref="G210" xr:uid="{00000000-0002-0000-06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B1:F16"/>
  <sheetViews>
    <sheetView workbookViewId="0">
      <selection activeCell="I11" sqref="I11"/>
    </sheetView>
  </sheetViews>
  <sheetFormatPr baseColWidth="10" defaultColWidth="14.28515625" defaultRowHeight="12.75" x14ac:dyDescent="0.2"/>
  <cols>
    <col min="1" max="2" width="14.28515625" style="74"/>
    <col min="3" max="3" width="17" style="74" customWidth="1"/>
    <col min="4" max="4" width="14.28515625" style="74"/>
    <col min="5" max="5" width="46" style="74" customWidth="1"/>
    <col min="6" max="16384" width="14.28515625" style="74"/>
  </cols>
  <sheetData>
    <row r="1" spans="2:6" ht="24" customHeight="1" thickBot="1" x14ac:dyDescent="0.25">
      <c r="B1" s="919" t="s">
        <v>76</v>
      </c>
      <c r="C1" s="920"/>
      <c r="D1" s="920"/>
      <c r="E1" s="920"/>
      <c r="F1" s="921"/>
    </row>
    <row r="2" spans="2:6" ht="16.5" thickBot="1" x14ac:dyDescent="0.3">
      <c r="B2" s="75"/>
      <c r="C2" s="75"/>
      <c r="D2" s="75"/>
      <c r="E2" s="75"/>
      <c r="F2" s="75"/>
    </row>
    <row r="3" spans="2:6" ht="16.5" thickBot="1" x14ac:dyDescent="0.25">
      <c r="B3" s="923" t="s">
        <v>62</v>
      </c>
      <c r="C3" s="924"/>
      <c r="D3" s="924"/>
      <c r="E3" s="87" t="s">
        <v>63</v>
      </c>
      <c r="F3" s="88" t="s">
        <v>64</v>
      </c>
    </row>
    <row r="4" spans="2:6" ht="31.5" x14ac:dyDescent="0.2">
      <c r="B4" s="925" t="s">
        <v>65</v>
      </c>
      <c r="C4" s="927" t="s">
        <v>12</v>
      </c>
      <c r="D4" s="76" t="s">
        <v>13</v>
      </c>
      <c r="E4" s="77" t="s">
        <v>66</v>
      </c>
      <c r="F4" s="78">
        <v>0.25</v>
      </c>
    </row>
    <row r="5" spans="2:6" ht="47.25" x14ac:dyDescent="0.2">
      <c r="B5" s="926"/>
      <c r="C5" s="928"/>
      <c r="D5" s="79" t="s">
        <v>14</v>
      </c>
      <c r="E5" s="80" t="s">
        <v>67</v>
      </c>
      <c r="F5" s="81">
        <v>0.15</v>
      </c>
    </row>
    <row r="6" spans="2:6" ht="47.25" x14ac:dyDescent="0.2">
      <c r="B6" s="926"/>
      <c r="C6" s="928"/>
      <c r="D6" s="79" t="s">
        <v>15</v>
      </c>
      <c r="E6" s="80" t="s">
        <v>68</v>
      </c>
      <c r="F6" s="81">
        <v>0.1</v>
      </c>
    </row>
    <row r="7" spans="2:6" ht="63" x14ac:dyDescent="0.2">
      <c r="B7" s="926"/>
      <c r="C7" s="928" t="s">
        <v>16</v>
      </c>
      <c r="D7" s="79" t="s">
        <v>9</v>
      </c>
      <c r="E7" s="80" t="s">
        <v>69</v>
      </c>
      <c r="F7" s="81">
        <v>0.25</v>
      </c>
    </row>
    <row r="8" spans="2:6" ht="31.5" x14ac:dyDescent="0.2">
      <c r="B8" s="926"/>
      <c r="C8" s="928"/>
      <c r="D8" s="79" t="s">
        <v>8</v>
      </c>
      <c r="E8" s="80" t="s">
        <v>70</v>
      </c>
      <c r="F8" s="81">
        <v>0.15</v>
      </c>
    </row>
    <row r="9" spans="2:6" ht="47.25" x14ac:dyDescent="0.2">
      <c r="B9" s="926" t="s">
        <v>157</v>
      </c>
      <c r="C9" s="928" t="s">
        <v>17</v>
      </c>
      <c r="D9" s="79" t="s">
        <v>18</v>
      </c>
      <c r="E9" s="80" t="s">
        <v>71</v>
      </c>
      <c r="F9" s="82" t="s">
        <v>72</v>
      </c>
    </row>
    <row r="10" spans="2:6" ht="63" x14ac:dyDescent="0.2">
      <c r="B10" s="926"/>
      <c r="C10" s="928"/>
      <c r="D10" s="79" t="s">
        <v>19</v>
      </c>
      <c r="E10" s="80" t="s">
        <v>73</v>
      </c>
      <c r="F10" s="82" t="s">
        <v>72</v>
      </c>
    </row>
    <row r="11" spans="2:6" ht="47.25" x14ac:dyDescent="0.2">
      <c r="B11" s="926"/>
      <c r="C11" s="928" t="s">
        <v>20</v>
      </c>
      <c r="D11" s="79" t="s">
        <v>21</v>
      </c>
      <c r="E11" s="80" t="s">
        <v>74</v>
      </c>
      <c r="F11" s="82" t="s">
        <v>72</v>
      </c>
    </row>
    <row r="12" spans="2:6" ht="47.25" x14ac:dyDescent="0.2">
      <c r="B12" s="926"/>
      <c r="C12" s="928"/>
      <c r="D12" s="79" t="s">
        <v>22</v>
      </c>
      <c r="E12" s="80" t="s">
        <v>75</v>
      </c>
      <c r="F12" s="82" t="s">
        <v>72</v>
      </c>
    </row>
    <row r="13" spans="2:6" ht="31.5" x14ac:dyDescent="0.2">
      <c r="B13" s="926"/>
      <c r="C13" s="928" t="s">
        <v>23</v>
      </c>
      <c r="D13" s="79" t="s">
        <v>117</v>
      </c>
      <c r="E13" s="80" t="s">
        <v>120</v>
      </c>
      <c r="F13" s="82" t="s">
        <v>72</v>
      </c>
    </row>
    <row r="14" spans="2:6" ht="32.25" thickBot="1" x14ac:dyDescent="0.25">
      <c r="B14" s="929"/>
      <c r="C14" s="930"/>
      <c r="D14" s="83" t="s">
        <v>118</v>
      </c>
      <c r="E14" s="84" t="s">
        <v>119</v>
      </c>
      <c r="F14" s="85" t="s">
        <v>72</v>
      </c>
    </row>
    <row r="15" spans="2:6" ht="49.5" customHeight="1" x14ac:dyDescent="0.2">
      <c r="B15" s="922" t="s">
        <v>154</v>
      </c>
      <c r="C15" s="922"/>
      <c r="D15" s="922"/>
      <c r="E15" s="922"/>
      <c r="F15" s="922"/>
    </row>
    <row r="16" spans="2:6" ht="27" customHeight="1" x14ac:dyDescent="0.25">
      <c r="B16" s="86"/>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E19"/>
  <sheetViews>
    <sheetView workbookViewId="0">
      <selection activeCell="P30" sqref="P30"/>
    </sheetView>
  </sheetViews>
  <sheetFormatPr baseColWidth="10" defaultRowHeight="15" x14ac:dyDescent="0.25"/>
  <sheetData>
    <row r="2" spans="2:5" x14ac:dyDescent="0.25">
      <c r="B2" t="s">
        <v>30</v>
      </c>
      <c r="E2" t="s">
        <v>130</v>
      </c>
    </row>
    <row r="3" spans="2:5" x14ac:dyDescent="0.25">
      <c r="B3" t="s">
        <v>31</v>
      </c>
      <c r="E3" t="s">
        <v>129</v>
      </c>
    </row>
    <row r="4" spans="2:5" x14ac:dyDescent="0.25">
      <c r="B4" t="s">
        <v>134</v>
      </c>
      <c r="E4" t="s">
        <v>131</v>
      </c>
    </row>
    <row r="5" spans="2:5" x14ac:dyDescent="0.25">
      <c r="B5" t="s">
        <v>133</v>
      </c>
    </row>
    <row r="8" spans="2:5" x14ac:dyDescent="0.25">
      <c r="B8" t="s">
        <v>84</v>
      </c>
    </row>
    <row r="9" spans="2:5" x14ac:dyDescent="0.25">
      <c r="B9" t="s">
        <v>38</v>
      </c>
    </row>
    <row r="10" spans="2:5" x14ac:dyDescent="0.25">
      <c r="B10" t="s">
        <v>39</v>
      </c>
    </row>
    <row r="13" spans="2:5" x14ac:dyDescent="0.25">
      <c r="B13" t="s">
        <v>127</v>
      </c>
    </row>
    <row r="14" spans="2:5" x14ac:dyDescent="0.25">
      <c r="B14" t="s">
        <v>121</v>
      </c>
    </row>
    <row r="15" spans="2:5" x14ac:dyDescent="0.25">
      <c r="B15" t="s">
        <v>124</v>
      </c>
    </row>
    <row r="16" spans="2:5" x14ac:dyDescent="0.25">
      <c r="B16" t="s">
        <v>122</v>
      </c>
    </row>
    <row r="17" spans="2:2" x14ac:dyDescent="0.25">
      <c r="B17" t="s">
        <v>123</v>
      </c>
    </row>
    <row r="18" spans="2:2" x14ac:dyDescent="0.25">
      <c r="B18" t="s">
        <v>125</v>
      </c>
    </row>
    <row r="19" spans="2:2" x14ac:dyDescent="0.25">
      <c r="B19" t="s">
        <v>126</v>
      </c>
    </row>
  </sheetData>
  <sortState xmlns:xlrd2="http://schemas.microsoft.com/office/spreadsheetml/2017/richdata2" ref="B2:B5">
    <sortCondition ref="B2:B5"/>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A21"/>
  <sheetViews>
    <sheetView workbookViewId="0">
      <selection activeCell="H29" sqref="H29"/>
    </sheetView>
  </sheetViews>
  <sheetFormatPr baseColWidth="10" defaultColWidth="11.42578125" defaultRowHeight="12.75" x14ac:dyDescent="0.2"/>
  <cols>
    <col min="1" max="1" width="32.7109375" style="1" customWidth="1"/>
    <col min="2" max="16384" width="11.42578125" style="1"/>
  </cols>
  <sheetData>
    <row r="3" spans="1:1" x14ac:dyDescent="0.2">
      <c r="A3" s="2" t="s">
        <v>13</v>
      </c>
    </row>
    <row r="4" spans="1:1" x14ac:dyDescent="0.2">
      <c r="A4" s="2" t="s">
        <v>14</v>
      </c>
    </row>
    <row r="5" spans="1:1" x14ac:dyDescent="0.2">
      <c r="A5" s="2" t="s">
        <v>15</v>
      </c>
    </row>
    <row r="6" spans="1:1" x14ac:dyDescent="0.2">
      <c r="A6" s="2" t="s">
        <v>9</v>
      </c>
    </row>
    <row r="7" spans="1:1" x14ac:dyDescent="0.2">
      <c r="A7" s="2" t="s">
        <v>8</v>
      </c>
    </row>
    <row r="8" spans="1:1" x14ac:dyDescent="0.2">
      <c r="A8" s="2" t="s">
        <v>18</v>
      </c>
    </row>
    <row r="9" spans="1:1" x14ac:dyDescent="0.2">
      <c r="A9" s="2" t="s">
        <v>19</v>
      </c>
    </row>
    <row r="10" spans="1:1" x14ac:dyDescent="0.2">
      <c r="A10" s="2" t="s">
        <v>21</v>
      </c>
    </row>
    <row r="11" spans="1:1" x14ac:dyDescent="0.2">
      <c r="A11" s="2" t="s">
        <v>22</v>
      </c>
    </row>
    <row r="12" spans="1:1" x14ac:dyDescent="0.2">
      <c r="A12" s="2" t="s">
        <v>24</v>
      </c>
    </row>
    <row r="13" spans="1:1" x14ac:dyDescent="0.2">
      <c r="A13" s="2" t="s">
        <v>25</v>
      </c>
    </row>
    <row r="14" spans="1:1" x14ac:dyDescent="0.2">
      <c r="A14" s="2" t="s">
        <v>26</v>
      </c>
    </row>
    <row r="16" spans="1:1" x14ac:dyDescent="0.2">
      <c r="A16" s="2" t="s">
        <v>29</v>
      </c>
    </row>
    <row r="17" spans="1:1" x14ac:dyDescent="0.2">
      <c r="A17" s="2" t="s">
        <v>30</v>
      </c>
    </row>
    <row r="18" spans="1:1" x14ac:dyDescent="0.2">
      <c r="A18" s="2" t="s">
        <v>31</v>
      </c>
    </row>
    <row r="20" spans="1:1" x14ac:dyDescent="0.2">
      <c r="A20" s="2" t="s">
        <v>38</v>
      </c>
    </row>
    <row r="21" spans="1:1" x14ac:dyDescent="0.2">
      <c r="A21" s="2" t="s">
        <v>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F187-0552-4A0C-8581-C0D5EB2FF3EF}">
  <sheetPr>
    <tabColor rgb="FF287840"/>
  </sheetPr>
  <dimension ref="A1:CE54"/>
  <sheetViews>
    <sheetView showGridLines="0" topLeftCell="A11" zoomScale="50" zoomScaleNormal="50" workbookViewId="0">
      <pane xSplit="4" ySplit="4" topLeftCell="O15" activePane="bottomRight" state="frozen"/>
      <selection activeCell="A11" sqref="A11"/>
      <selection pane="topRight" activeCell="E11" sqref="E11"/>
      <selection pane="bottomLeft" activeCell="A15" sqref="A15"/>
      <selection pane="bottomRight" activeCell="D19" sqref="D19"/>
    </sheetView>
  </sheetViews>
  <sheetFormatPr baseColWidth="10" defaultColWidth="11.42578125" defaultRowHeight="14.25" x14ac:dyDescent="0.2"/>
  <cols>
    <col min="1" max="1" width="11.42578125" style="165"/>
    <col min="2" max="2" width="3" style="165" customWidth="1"/>
    <col min="3" max="3" width="2.5703125" style="165" customWidth="1"/>
    <col min="4" max="4" width="9.28515625" style="166" customWidth="1"/>
    <col min="5" max="5" width="14.7109375" style="166" customWidth="1"/>
    <col min="6" max="6" width="18.42578125" style="166" customWidth="1"/>
    <col min="7" max="8" width="12" style="166" customWidth="1"/>
    <col min="9" max="9" width="120.85546875" style="166" customWidth="1"/>
    <col min="10" max="10" width="28.85546875" style="166" customWidth="1"/>
    <col min="11" max="11" width="31" style="166" hidden="1" customWidth="1"/>
    <col min="12" max="12" width="16.28515625" style="166" hidden="1" customWidth="1"/>
    <col min="13" max="13" width="25.5703125" style="166" hidden="1" customWidth="1"/>
    <col min="14" max="14" width="46.85546875" style="165" customWidth="1"/>
    <col min="15" max="17" width="19.7109375" style="167" customWidth="1"/>
    <col min="18" max="18" width="17.7109375" style="165" customWidth="1"/>
    <col min="19" max="19" width="16.42578125" style="165" customWidth="1"/>
    <col min="20" max="20" width="6.28515625" style="165" bestFit="1" customWidth="1"/>
    <col min="21" max="21" width="24.85546875" style="165" customWidth="1"/>
    <col min="22" max="22" width="21" style="165" customWidth="1"/>
    <col min="23" max="23" width="17.42578125" style="165" customWidth="1"/>
    <col min="24" max="24" width="9.28515625" style="165" customWidth="1"/>
    <col min="25" max="25" width="16" style="165" customWidth="1"/>
    <col min="26" max="26" width="5.7109375" style="165" customWidth="1"/>
    <col min="27" max="27" width="86.85546875" style="165" customWidth="1"/>
    <col min="28" max="28" width="69.5703125" style="165" customWidth="1"/>
    <col min="29" max="29" width="15.140625" style="165" bestFit="1" customWidth="1"/>
    <col min="30" max="30" width="6.7109375" style="165" customWidth="1"/>
    <col min="31" max="31" width="5" style="165" customWidth="1"/>
    <col min="32" max="32" width="5.42578125" style="165" customWidth="1"/>
    <col min="33" max="33" width="7.140625" style="165" customWidth="1"/>
    <col min="34" max="34" width="6.7109375" style="165" customWidth="1"/>
    <col min="35" max="35" width="8.28515625" style="165" customWidth="1"/>
    <col min="36" max="36" width="12.5703125" style="165" customWidth="1"/>
    <col min="37" max="37" width="13.7109375" style="165" customWidth="1"/>
    <col min="38" max="38" width="8.7109375" style="165" customWidth="1"/>
    <col min="39" max="39" width="10.42578125" style="165" customWidth="1"/>
    <col min="40" max="40" width="9.28515625" style="165" customWidth="1"/>
    <col min="41" max="41" width="9.140625" style="165" customWidth="1"/>
    <col min="42" max="42" width="8.42578125" style="165" customWidth="1"/>
    <col min="43" max="43" width="7.28515625" style="165" customWidth="1"/>
    <col min="44" max="44" width="44.28515625" style="165" customWidth="1"/>
    <col min="45" max="45" width="52.85546875" style="165" customWidth="1"/>
    <col min="46" max="46" width="18.7109375" style="165" customWidth="1"/>
    <col min="47" max="47" width="16.7109375" style="165" customWidth="1"/>
    <col min="48" max="48" width="14.7109375" style="165" customWidth="1"/>
    <col min="49" max="49" width="18.42578125" style="165" customWidth="1"/>
    <col min="50" max="50" width="21" style="165" customWidth="1"/>
    <col min="51" max="51" width="14.140625" style="165" customWidth="1"/>
    <col min="52" max="52" width="17.7109375" style="165" customWidth="1"/>
    <col min="53" max="54" width="20.7109375" style="165" customWidth="1"/>
    <col min="55" max="55" width="15.42578125" style="165" customWidth="1"/>
    <col min="56" max="56" width="19.5703125" style="165" customWidth="1"/>
    <col min="57" max="57" width="17.28515625" style="165" customWidth="1"/>
    <col min="58" max="16384" width="11.42578125" style="165"/>
  </cols>
  <sheetData>
    <row r="1" spans="1:83" ht="15" hidden="1" thickBot="1" x14ac:dyDescent="0.25"/>
    <row r="2" spans="1:83" ht="27.75" hidden="1" customHeight="1" x14ac:dyDescent="0.2">
      <c r="D2" s="545" t="s">
        <v>299</v>
      </c>
      <c r="E2" s="546"/>
      <c r="F2" s="546"/>
      <c r="G2" s="546"/>
      <c r="H2" s="546"/>
      <c r="I2" s="216"/>
      <c r="J2" s="249"/>
      <c r="K2" s="551" t="s">
        <v>203</v>
      </c>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2"/>
      <c r="BD2" s="557" t="s">
        <v>323</v>
      </c>
      <c r="BE2" s="558"/>
    </row>
    <row r="3" spans="1:83" ht="27.75" hidden="1" customHeight="1" x14ac:dyDescent="0.2">
      <c r="D3" s="547"/>
      <c r="E3" s="548"/>
      <c r="F3" s="548"/>
      <c r="G3" s="548"/>
      <c r="H3" s="548"/>
      <c r="I3" s="214"/>
      <c r="J3" s="221"/>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554"/>
      <c r="BD3" s="558" t="s">
        <v>240</v>
      </c>
      <c r="BE3" s="559"/>
    </row>
    <row r="4" spans="1:83" ht="27.75" hidden="1" customHeight="1" x14ac:dyDescent="0.2">
      <c r="D4" s="547"/>
      <c r="E4" s="548"/>
      <c r="F4" s="548"/>
      <c r="G4" s="548"/>
      <c r="H4" s="548"/>
      <c r="I4" s="214"/>
      <c r="J4" s="221"/>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3"/>
      <c r="BB4" s="553"/>
      <c r="BC4" s="554"/>
      <c r="BD4" s="558" t="s">
        <v>333</v>
      </c>
      <c r="BE4" s="559"/>
    </row>
    <row r="5" spans="1:83" ht="27.75" hidden="1" customHeight="1" thickBot="1" x14ac:dyDescent="0.25">
      <c r="D5" s="549"/>
      <c r="E5" s="550"/>
      <c r="F5" s="550"/>
      <c r="G5" s="550"/>
      <c r="H5" s="550"/>
      <c r="I5" s="215"/>
      <c r="J5" s="248"/>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6"/>
      <c r="BD5" s="558" t="s">
        <v>204</v>
      </c>
      <c r="BE5" s="559"/>
    </row>
    <row r="6" spans="1:83" ht="13.9" hidden="1" customHeight="1" x14ac:dyDescent="0.25">
      <c r="D6" s="119"/>
      <c r="E6" s="120"/>
      <c r="F6" s="120"/>
      <c r="G6" s="120"/>
      <c r="H6" s="120"/>
      <c r="I6" s="120"/>
      <c r="J6" s="120"/>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22"/>
      <c r="BE6" s="121"/>
    </row>
    <row r="7" spans="1:83" ht="26.25" hidden="1" customHeight="1" x14ac:dyDescent="0.2">
      <c r="D7" s="538" t="s">
        <v>41</v>
      </c>
      <c r="E7" s="539"/>
      <c r="F7" s="539"/>
      <c r="G7" s="540"/>
      <c r="H7" s="541" t="s">
        <v>459</v>
      </c>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3"/>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row>
    <row r="8" spans="1:83" ht="54" hidden="1" customHeight="1" x14ac:dyDescent="0.2">
      <c r="D8" s="538" t="s">
        <v>128</v>
      </c>
      <c r="E8" s="539"/>
      <c r="F8" s="539"/>
      <c r="G8" s="540"/>
      <c r="H8" s="544" t="s">
        <v>458</v>
      </c>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3"/>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row>
    <row r="9" spans="1:83" ht="24" hidden="1" customHeight="1" x14ac:dyDescent="0.2">
      <c r="D9" s="538" t="s">
        <v>42</v>
      </c>
      <c r="E9" s="539"/>
      <c r="F9" s="539"/>
      <c r="G9" s="540"/>
      <c r="H9" s="541" t="s">
        <v>457</v>
      </c>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3"/>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row>
    <row r="10" spans="1:83" s="170" customFormat="1" ht="24" hidden="1" customHeight="1" x14ac:dyDescent="0.2">
      <c r="D10" s="171"/>
      <c r="E10" s="172"/>
      <c r="F10" s="173"/>
      <c r="G10" s="173"/>
      <c r="H10" s="171"/>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5"/>
      <c r="AZ10" s="175"/>
      <c r="BA10" s="175"/>
      <c r="BB10" s="175"/>
      <c r="BC10" s="175"/>
      <c r="BD10" s="175"/>
      <c r="BE10" s="175"/>
    </row>
    <row r="11" spans="1:83" s="170" customFormat="1" ht="24" customHeight="1" x14ac:dyDescent="0.25">
      <c r="A11" s="521" t="s">
        <v>264</v>
      </c>
      <c r="B11" s="521"/>
      <c r="C11" s="522"/>
      <c r="D11" s="523" t="s">
        <v>302</v>
      </c>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5" t="s">
        <v>300</v>
      </c>
      <c r="AZ11" s="526"/>
      <c r="BA11" s="526"/>
      <c r="BB11" s="527"/>
      <c r="BC11" s="528" t="s">
        <v>301</v>
      </c>
      <c r="BD11" s="529"/>
      <c r="BE11" s="530"/>
    </row>
    <row r="12" spans="1:83" ht="24.75" customHeight="1" x14ac:dyDescent="0.2">
      <c r="D12" s="511" t="s">
        <v>136</v>
      </c>
      <c r="E12" s="511"/>
      <c r="F12" s="511"/>
      <c r="G12" s="511"/>
      <c r="H12" s="511"/>
      <c r="I12" s="531"/>
      <c r="J12" s="531"/>
      <c r="K12" s="531"/>
      <c r="L12" s="531"/>
      <c r="M12" s="531"/>
      <c r="N12" s="531"/>
      <c r="O12" s="531"/>
      <c r="P12" s="531"/>
      <c r="Q12" s="531"/>
      <c r="R12" s="531"/>
      <c r="S12" s="531" t="s">
        <v>137</v>
      </c>
      <c r="T12" s="531"/>
      <c r="U12" s="531"/>
      <c r="V12" s="531"/>
      <c r="W12" s="531"/>
      <c r="X12" s="531"/>
      <c r="Y12" s="531"/>
      <c r="Z12" s="531" t="s">
        <v>138</v>
      </c>
      <c r="AA12" s="531"/>
      <c r="AB12" s="531"/>
      <c r="AC12" s="531"/>
      <c r="AD12" s="531"/>
      <c r="AE12" s="531"/>
      <c r="AF12" s="531"/>
      <c r="AG12" s="531"/>
      <c r="AH12" s="531"/>
      <c r="AI12" s="531"/>
      <c r="AJ12" s="532" t="s">
        <v>17</v>
      </c>
      <c r="AK12" s="531" t="s">
        <v>139</v>
      </c>
      <c r="AL12" s="531"/>
      <c r="AM12" s="531"/>
      <c r="AN12" s="531"/>
      <c r="AO12" s="531"/>
      <c r="AP12" s="531"/>
      <c r="AQ12" s="531"/>
      <c r="AR12" s="222"/>
      <c r="AS12" s="535" t="s">
        <v>33</v>
      </c>
      <c r="AT12" s="536"/>
      <c r="AU12" s="536"/>
      <c r="AV12" s="536"/>
      <c r="AW12" s="536"/>
      <c r="AX12" s="536"/>
      <c r="AY12" s="536"/>
      <c r="AZ12" s="536"/>
      <c r="BA12" s="536"/>
      <c r="BB12" s="536"/>
      <c r="BC12" s="536"/>
      <c r="BD12" s="536"/>
      <c r="BE12" s="536"/>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row>
    <row r="13" spans="1:83" ht="33" customHeight="1" x14ac:dyDescent="0.2">
      <c r="D13" s="537" t="s">
        <v>0</v>
      </c>
      <c r="E13" s="510" t="s">
        <v>309</v>
      </c>
      <c r="F13" s="176"/>
      <c r="G13" s="176"/>
      <c r="H13" s="511" t="s">
        <v>222</v>
      </c>
      <c r="I13" s="515" t="s">
        <v>369</v>
      </c>
      <c r="J13" s="516"/>
      <c r="K13" s="510" t="s">
        <v>305</v>
      </c>
      <c r="L13" s="177"/>
      <c r="M13" s="510" t="s">
        <v>306</v>
      </c>
      <c r="N13" s="511" t="s">
        <v>1</v>
      </c>
      <c r="O13" s="513" t="s">
        <v>48</v>
      </c>
      <c r="P13" s="515" t="s">
        <v>369</v>
      </c>
      <c r="Q13" s="516"/>
      <c r="R13" s="510" t="s">
        <v>132</v>
      </c>
      <c r="S13" s="510" t="s">
        <v>32</v>
      </c>
      <c r="T13" s="511" t="s">
        <v>5</v>
      </c>
      <c r="U13" s="510" t="s">
        <v>85</v>
      </c>
      <c r="V13" s="510" t="s">
        <v>90</v>
      </c>
      <c r="W13" s="510" t="s">
        <v>43</v>
      </c>
      <c r="X13" s="511" t="s">
        <v>5</v>
      </c>
      <c r="Y13" s="510" t="s">
        <v>46</v>
      </c>
      <c r="Z13" s="512" t="s">
        <v>10</v>
      </c>
      <c r="AA13" s="510" t="s">
        <v>158</v>
      </c>
      <c r="AB13" s="510" t="s">
        <v>456</v>
      </c>
      <c r="AC13" s="510" t="s">
        <v>11</v>
      </c>
      <c r="AD13" s="510" t="s">
        <v>455</v>
      </c>
      <c r="AE13" s="510"/>
      <c r="AF13" s="510"/>
      <c r="AG13" s="510"/>
      <c r="AH13" s="510"/>
      <c r="AI13" s="510"/>
      <c r="AJ13" s="533"/>
      <c r="AK13" s="512" t="s">
        <v>135</v>
      </c>
      <c r="AL13" s="512" t="s">
        <v>44</v>
      </c>
      <c r="AM13" s="512" t="s">
        <v>5</v>
      </c>
      <c r="AN13" s="512" t="s">
        <v>45</v>
      </c>
      <c r="AO13" s="512" t="s">
        <v>5</v>
      </c>
      <c r="AP13" s="512" t="s">
        <v>47</v>
      </c>
      <c r="AQ13" s="512" t="s">
        <v>28</v>
      </c>
      <c r="AR13" s="247" t="s">
        <v>454</v>
      </c>
      <c r="AS13" s="513" t="s">
        <v>33</v>
      </c>
      <c r="AT13" s="510" t="s">
        <v>34</v>
      </c>
      <c r="AU13" s="510" t="s">
        <v>35</v>
      </c>
      <c r="AV13" s="510" t="s">
        <v>36</v>
      </c>
      <c r="AW13" s="510" t="s">
        <v>210</v>
      </c>
      <c r="AX13" s="510" t="s">
        <v>37</v>
      </c>
      <c r="AY13" s="518" t="s">
        <v>36</v>
      </c>
      <c r="AZ13" s="505" t="s">
        <v>211</v>
      </c>
      <c r="BA13" s="505" t="s">
        <v>37</v>
      </c>
      <c r="BB13" s="507" t="s">
        <v>241</v>
      </c>
      <c r="BC13" s="509" t="s">
        <v>36</v>
      </c>
      <c r="BD13" s="509" t="s">
        <v>212</v>
      </c>
      <c r="BE13" s="509" t="s">
        <v>37</v>
      </c>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row>
    <row r="14" spans="1:83" s="181" customFormat="1" ht="33.75" customHeight="1" x14ac:dyDescent="0.25">
      <c r="A14" s="178"/>
      <c r="B14" s="178"/>
      <c r="C14" s="178"/>
      <c r="D14" s="537"/>
      <c r="E14" s="510"/>
      <c r="F14" s="176" t="s">
        <v>2</v>
      </c>
      <c r="G14" s="177" t="s">
        <v>314</v>
      </c>
      <c r="H14" s="511"/>
      <c r="I14" s="177" t="s">
        <v>453</v>
      </c>
      <c r="J14" s="177" t="s">
        <v>306</v>
      </c>
      <c r="K14" s="510"/>
      <c r="L14" s="177" t="s">
        <v>451</v>
      </c>
      <c r="M14" s="510"/>
      <c r="N14" s="511"/>
      <c r="O14" s="514"/>
      <c r="P14" s="213" t="s">
        <v>238</v>
      </c>
      <c r="Q14" s="213" t="s">
        <v>239</v>
      </c>
      <c r="R14" s="510"/>
      <c r="S14" s="510"/>
      <c r="T14" s="511"/>
      <c r="U14" s="510"/>
      <c r="V14" s="510"/>
      <c r="W14" s="511"/>
      <c r="X14" s="511"/>
      <c r="Y14" s="510"/>
      <c r="Z14" s="512"/>
      <c r="AA14" s="510"/>
      <c r="AB14" s="510"/>
      <c r="AC14" s="510"/>
      <c r="AD14" s="179" t="s">
        <v>12</v>
      </c>
      <c r="AE14" s="179" t="s">
        <v>16</v>
      </c>
      <c r="AF14" s="179" t="s">
        <v>27</v>
      </c>
      <c r="AG14" s="179" t="s">
        <v>17</v>
      </c>
      <c r="AH14" s="179" t="s">
        <v>20</v>
      </c>
      <c r="AI14" s="179" t="s">
        <v>23</v>
      </c>
      <c r="AJ14" s="534"/>
      <c r="AK14" s="512"/>
      <c r="AL14" s="512"/>
      <c r="AM14" s="512"/>
      <c r="AN14" s="512"/>
      <c r="AO14" s="512"/>
      <c r="AP14" s="512"/>
      <c r="AQ14" s="512"/>
      <c r="AR14" s="177" t="s">
        <v>450</v>
      </c>
      <c r="AS14" s="514"/>
      <c r="AT14" s="510"/>
      <c r="AU14" s="510"/>
      <c r="AV14" s="510"/>
      <c r="AW14" s="510"/>
      <c r="AX14" s="510"/>
      <c r="AY14" s="519"/>
      <c r="AZ14" s="506"/>
      <c r="BA14" s="506"/>
      <c r="BB14" s="508"/>
      <c r="BC14" s="509"/>
      <c r="BD14" s="509"/>
      <c r="BE14" s="509"/>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row>
    <row r="15" spans="1:83" s="225" customFormat="1" ht="93.75" customHeight="1" x14ac:dyDescent="0.25">
      <c r="D15" s="473" t="s">
        <v>539</v>
      </c>
      <c r="E15" s="473" t="s">
        <v>324</v>
      </c>
      <c r="F15" s="473" t="s">
        <v>131</v>
      </c>
      <c r="G15" s="473" t="s">
        <v>311</v>
      </c>
      <c r="H15" s="473" t="s">
        <v>227</v>
      </c>
      <c r="I15" s="210" t="s">
        <v>449</v>
      </c>
      <c r="J15" s="450" t="s">
        <v>448</v>
      </c>
      <c r="K15" s="241"/>
      <c r="L15" s="182"/>
      <c r="M15" s="241"/>
      <c r="N15" s="450" t="s">
        <v>447</v>
      </c>
      <c r="O15" s="450" t="s">
        <v>124</v>
      </c>
      <c r="P15" s="450" t="s">
        <v>231</v>
      </c>
      <c r="Q15" s="458" t="s">
        <v>235</v>
      </c>
      <c r="R15" s="450">
        <v>5000</v>
      </c>
      <c r="S15" s="448" t="str">
        <f>IF(R15&lt;=0,"",IF(R15&lt;=2,"Muy Baja",IF(R15&lt;=24,"Baja",IF(R15&lt;=500,"Media",IF(R15&lt;=5000,"Alta","Muy Alta")))))</f>
        <v>Alta</v>
      </c>
      <c r="T15" s="460">
        <f>IF(S15="","",IF(S15="Muy Baja",0.2,IF(S15="Baja",0.4,IF(S15="Media",0.6,IF(S15="Alta",0.8,IF(S15="Muy Alta",1,))))))</f>
        <v>0.8</v>
      </c>
      <c r="U15" s="464" t="s">
        <v>147</v>
      </c>
      <c r="V15" s="460" t="str">
        <f>IF(NOT(ISERROR(MATCH(U15,'[2]Tabla Impacto'!$B$221:$B$223,0))),'[2]Tabla Impacto'!$F$223&amp;"Por favor no seleccionar los criterios de impacto(Afectación Económica o presupuestal y Pérdida Reputacional)",U15)</f>
        <v xml:space="preserve">     Mayor a 500 SMLMV </v>
      </c>
      <c r="W15" s="462" t="str">
        <f>IF(OR(V15='[3]Tabla Impacto'!$C$11,V15='[3]Tabla Impacto'!$D$11),"Leve",IF(OR(V15='[3]Tabla Impacto'!$C$12,V15='[3]Tabla Impacto'!$D$12),"Menor",IF(OR(V15='[3]Tabla Impacto'!$C$13,V15='[3]Tabla Impacto'!$D$13),"Moderado",IF(OR(V15='[3]Tabla Impacto'!$C$14,V15='[3]Tabla Impacto'!$D$14),"Mayor",IF(OR(V15='[3]Tabla Impacto'!$C$15,V15='[3]Tabla Impacto'!$D$15),"Catastrófico","")))))</f>
        <v>Catastrófico</v>
      </c>
      <c r="X15" s="460">
        <f>IF(W15="","",IF(W15="Leve",0.2,IF(W15="Menor",0.4,IF(W15="Moderado",0.6,IF(W15="Mayor",0.8,IF(W15="Catastrófico",1,))))))</f>
        <v>1</v>
      </c>
      <c r="Y15" s="448" t="str">
        <f>IF(OR(AND(S15="Muy Baja",W15="Leve"),AND(S15="Muy Baja",W15="Menor"),AND(S15="Baja",W15="Leve")),"Bajo",IF(OR(AND(S15="Muy baja",W15="Moderado"),AND(S15="Baja",W15="Menor"),AND(S15="Baja",W15="Moderado"),AND(S15="Media",W15="Leve"),AND(S15="Media",W15="Menor"),AND(S15="Media",W15="Moderado"),AND(S15="Alta",W15="Leve"),AND(S15="Alta",W15="Menor")),"Moderado",IF(OR(AND(S15="Muy Baja",W15="Mayor"),AND(S15="Baja",W15="Mayor"),AND(S15="Media",W15="Mayor"),AND(S15="Alta",W15="Moderado"),AND(S15="Alta",W15="Mayor"),AND(S15="Muy Alta",W15="Leve"),AND(S15="Muy Alta",W15="Menor"),AND(S15="Muy Alta",W15="Moderado"),AND(S15="Muy Alta",W15="Mayor")),"Alto",IF(OR(AND(S15="Muy Baja",W15="Catastrófico"),AND(S15="Baja",W15="Catastrófico"),AND(S15="Media",W15="Catastrófico"),AND(S15="Alta",W15="Catastrófico"),AND(S15="Muy Alta",W15="Catastrófico")),"Extremo",""))))</f>
        <v>Extremo</v>
      </c>
      <c r="Z15" s="196">
        <v>1</v>
      </c>
      <c r="AA15" s="210" t="s">
        <v>446</v>
      </c>
      <c r="AB15" s="182" t="s">
        <v>445</v>
      </c>
      <c r="AC15" s="246" t="str">
        <f t="shared" ref="AC15:AC24" si="0">IF(OR(AD15="Preventivo",AD15="Detectivo"),"Probabilidad",IF(AD15="Correctivo","Impacto",""))</f>
        <v>Probabilidad</v>
      </c>
      <c r="AD15" s="244" t="s">
        <v>13</v>
      </c>
      <c r="AE15" s="244" t="s">
        <v>8</v>
      </c>
      <c r="AF15" s="220" t="str">
        <f t="shared" ref="AF15:AF25" si="1">IF(AND(AD15="Preventivo",AE15="Automático"),"50%",IF(AND(AD15="Preventivo",AE15="Manual"),"40%",IF(AND(AD15="Detectivo",AE15="Automático"),"40%",IF(AND(AD15="Detectivo",AE15="Manual"),"30%",IF(AND(AD15="Correctivo",AE15="Automático"),"35%",IF(AND(AD15="Correctivo",AE15="Manual"),"25%",""))))))</f>
        <v>40%</v>
      </c>
      <c r="AG15" s="244" t="s">
        <v>18</v>
      </c>
      <c r="AH15" s="244" t="s">
        <v>21</v>
      </c>
      <c r="AI15" s="244" t="s">
        <v>117</v>
      </c>
      <c r="AJ15" s="218" t="s">
        <v>394</v>
      </c>
      <c r="AK15" s="237">
        <f>IFERROR(IF(AC15="Probabilidad",(T15-(+T15*AF15)),IF(AC15="Impacto",T15,"")),"")</f>
        <v>0.48</v>
      </c>
      <c r="AL15" s="217" t="str">
        <f t="shared" ref="AL15:AL25" si="2">IFERROR(IF(AK15="","",IF(AK15&lt;=0.2,"Muy Baja",IF(AK15&lt;=0.4,"Baja",IF(AK15&lt;=0.6,"Media",IF(AK15&lt;=0.8,"Alta","Muy Alta"))))),"")</f>
        <v>Media</v>
      </c>
      <c r="AM15" s="220">
        <f t="shared" ref="AM15:AM24" si="3">+AK15</f>
        <v>0.48</v>
      </c>
      <c r="AN15" s="217" t="str">
        <f t="shared" ref="AN15:AN25" si="4">IFERROR(IF(AO15="","",IF(AO15&lt;=0.2,"Leve",IF(AO15&lt;=0.4,"Menor",IF(AO15&lt;=0.6,"Moderado",IF(AO15&lt;=0.8,"Mayor","Catastrófico"))))),"")</f>
        <v>Catastrófico</v>
      </c>
      <c r="AO15" s="220">
        <f>IFERROR(IF(AC15="Impacto",(X15-(+X15*AF15)),IF(AC15="Probabilidad",X15,"")),"")</f>
        <v>1</v>
      </c>
      <c r="AP15" s="217" t="str">
        <f t="shared" ref="AP15:AP24" si="5">IFERROR(IF(OR(AND(AL15="Muy Baja",AN15="Leve"),AND(AL15="Muy Baja",AN15="Menor"),AND(AL15="Baja",AN15="Leve")),"Bajo",IF(OR(AND(AL15="Muy baja",AN15="Moderado"),AND(AL15="Baja",AN15="Menor"),AND(AL15="Baja",AN15="Moderado"),AND(AL15="Media",AN15="Leve"),AND(AL15="Media",AN15="Menor"),AND(AL15="Media",AN15="Moderado"),AND(AL15="Alta",AN15="Leve"),AND(AL15="Alta",AN15="Menor")),"Moderado",IF(OR(AND(AL15="Muy Baja",AN15="Mayor"),AND(AL15="Baja",AN15="Mayor"),AND(AL15="Media",AN15="Mayor"),AND(AL15="Alta",AN15="Moderado"),AND(AL15="Alta",AN15="Mayor"),AND(AL15="Muy Alta",AN15="Leve"),AND(AL15="Muy Alta",AN15="Menor"),AND(AL15="Muy Alta",AN15="Moderado"),AND(AL15="Muy Alta",AN15="Mayor")),"Alto",IF(OR(AND(AL15="Muy Baja",AN15="Catastrófico"),AND(AL15="Baja",AN15="Catastrófico"),AND(AL15="Media",AN15="Catastrófico"),AND(AL15="Alta",AN15="Catastrófico"),AND(AL15="Muy Alta",AN15="Catastrófico")),"Extremo","")))),"")</f>
        <v>Extremo</v>
      </c>
      <c r="AQ15" s="244" t="s">
        <v>133</v>
      </c>
      <c r="AR15" s="487" t="s">
        <v>444</v>
      </c>
      <c r="AS15" s="158" t="s">
        <v>443</v>
      </c>
      <c r="AT15" s="495" t="s">
        <v>391</v>
      </c>
      <c r="AU15" s="520">
        <v>45687</v>
      </c>
      <c r="AV15" s="245"/>
      <c r="AW15" s="218"/>
      <c r="AX15" s="218"/>
      <c r="AY15" s="245"/>
      <c r="AZ15" s="218"/>
      <c r="BA15" s="218"/>
      <c r="BB15" s="218"/>
      <c r="BC15" s="245"/>
      <c r="BD15" s="218"/>
      <c r="BE15" s="218"/>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row>
    <row r="16" spans="1:83" s="225" customFormat="1" ht="93.75" customHeight="1" x14ac:dyDescent="0.25">
      <c r="D16" s="480"/>
      <c r="E16" s="480"/>
      <c r="F16" s="480"/>
      <c r="G16" s="480"/>
      <c r="H16" s="480"/>
      <c r="I16" s="210" t="s">
        <v>442</v>
      </c>
      <c r="J16" s="470"/>
      <c r="K16" s="241"/>
      <c r="L16" s="182"/>
      <c r="M16" s="241"/>
      <c r="N16" s="470"/>
      <c r="O16" s="470"/>
      <c r="P16" s="470"/>
      <c r="Q16" s="492"/>
      <c r="R16" s="470"/>
      <c r="S16" s="491"/>
      <c r="T16" s="489"/>
      <c r="U16" s="504"/>
      <c r="V16" s="489"/>
      <c r="W16" s="490"/>
      <c r="X16" s="489"/>
      <c r="Y16" s="491"/>
      <c r="Z16" s="196">
        <v>2</v>
      </c>
      <c r="AA16" s="210" t="s">
        <v>441</v>
      </c>
      <c r="AB16" s="182" t="s">
        <v>440</v>
      </c>
      <c r="AC16" s="185" t="str">
        <f t="shared" si="0"/>
        <v>Probabilidad</v>
      </c>
      <c r="AD16" s="244" t="s">
        <v>13</v>
      </c>
      <c r="AE16" s="244" t="s">
        <v>8</v>
      </c>
      <c r="AF16" s="189" t="str">
        <f t="shared" si="1"/>
        <v>40%</v>
      </c>
      <c r="AG16" s="244" t="s">
        <v>18</v>
      </c>
      <c r="AH16" s="244" t="s">
        <v>21</v>
      </c>
      <c r="AI16" s="244" t="s">
        <v>117</v>
      </c>
      <c r="AJ16" s="218" t="s">
        <v>394</v>
      </c>
      <c r="AK16" s="224">
        <f>IFERROR(IF(AND(AC15="Probabilidad",AC16="Probabilidad"),(AM15-(+AM15*AF16)),IF(AC16="Probabilidad",(U15-(+U15*AC16)),IF(AC16="Impacto",AM15,""))),"")</f>
        <v>0.28799999999999998</v>
      </c>
      <c r="AL16" s="228" t="str">
        <f t="shared" si="2"/>
        <v>Baja</v>
      </c>
      <c r="AM16" s="189">
        <f t="shared" si="3"/>
        <v>0.28799999999999998</v>
      </c>
      <c r="AN16" s="228" t="str">
        <f t="shared" si="4"/>
        <v>Catastrófico</v>
      </c>
      <c r="AO16" s="189">
        <f>IFERROR(IF(AC16="Impacto",(X15-(+X15*AF16)),IF(AC16="Probabilidad",X15,"")),"")</f>
        <v>1</v>
      </c>
      <c r="AP16" s="228" t="str">
        <f t="shared" si="5"/>
        <v>Extremo</v>
      </c>
      <c r="AQ16" s="244" t="s">
        <v>133</v>
      </c>
      <c r="AR16" s="517"/>
      <c r="AS16" s="158" t="s">
        <v>439</v>
      </c>
      <c r="AT16" s="495"/>
      <c r="AU16" s="520"/>
      <c r="AV16" s="191"/>
      <c r="AW16" s="182"/>
      <c r="AX16" s="182"/>
      <c r="AY16" s="191"/>
      <c r="AZ16" s="182"/>
      <c r="BA16" s="182"/>
      <c r="BB16" s="182"/>
      <c r="BC16" s="191"/>
      <c r="BD16" s="182"/>
      <c r="BE16" s="182"/>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row>
    <row r="17" spans="4:83" s="225" customFormat="1" ht="72.75" customHeight="1" x14ac:dyDescent="0.25">
      <c r="D17" s="480"/>
      <c r="E17" s="480"/>
      <c r="F17" s="480"/>
      <c r="G17" s="480"/>
      <c r="H17" s="480"/>
      <c r="I17" s="210" t="s">
        <v>438</v>
      </c>
      <c r="J17" s="470"/>
      <c r="K17" s="241"/>
      <c r="L17" s="182"/>
      <c r="M17" s="241"/>
      <c r="N17" s="470"/>
      <c r="O17" s="470"/>
      <c r="P17" s="470"/>
      <c r="Q17" s="492"/>
      <c r="R17" s="470"/>
      <c r="S17" s="491"/>
      <c r="T17" s="489"/>
      <c r="U17" s="504"/>
      <c r="V17" s="489"/>
      <c r="W17" s="490"/>
      <c r="X17" s="489"/>
      <c r="Y17" s="491"/>
      <c r="Z17" s="196">
        <v>3</v>
      </c>
      <c r="AA17" s="210" t="s">
        <v>437</v>
      </c>
      <c r="AB17" s="182" t="s">
        <v>436</v>
      </c>
      <c r="AC17" s="185" t="str">
        <f t="shared" si="0"/>
        <v>Probabilidad</v>
      </c>
      <c r="AD17" s="244" t="s">
        <v>13</v>
      </c>
      <c r="AE17" s="244" t="s">
        <v>8</v>
      </c>
      <c r="AF17" s="189" t="str">
        <f t="shared" si="1"/>
        <v>40%</v>
      </c>
      <c r="AG17" s="244" t="s">
        <v>18</v>
      </c>
      <c r="AH17" s="244" t="s">
        <v>21</v>
      </c>
      <c r="AI17" s="244" t="s">
        <v>117</v>
      </c>
      <c r="AJ17" s="218" t="s">
        <v>394</v>
      </c>
      <c r="AK17" s="224">
        <f>IFERROR(IF(AND(AC16="Probabilidad",AC17="Probabilidad"),(AM16-(+AM16*AF17)),IF(AC17="Probabilidad",(U16-(+U16*AC17)),IF(AC17="Impacto",AM16,""))),"")</f>
        <v>0.17279999999999998</v>
      </c>
      <c r="AL17" s="228" t="str">
        <f t="shared" si="2"/>
        <v>Muy Baja</v>
      </c>
      <c r="AM17" s="189">
        <f t="shared" si="3"/>
        <v>0.17279999999999998</v>
      </c>
      <c r="AN17" s="228" t="str">
        <f t="shared" si="4"/>
        <v>Catastrófico</v>
      </c>
      <c r="AO17" s="189">
        <f>IFERROR(IF(AC17="Impacto",(X15-(+X15*AF17)),IF(AC17="Probabilidad",X15,"")),"")</f>
        <v>1</v>
      </c>
      <c r="AP17" s="228" t="str">
        <f t="shared" si="5"/>
        <v>Extremo</v>
      </c>
      <c r="AQ17" s="244" t="s">
        <v>133</v>
      </c>
      <c r="AR17" s="517"/>
      <c r="AS17" s="158" t="s">
        <v>435</v>
      </c>
      <c r="AT17" s="495"/>
      <c r="AU17" s="520"/>
      <c r="AV17" s="191"/>
      <c r="AW17" s="182"/>
      <c r="AX17" s="182"/>
      <c r="AY17" s="191"/>
      <c r="AZ17" s="182"/>
      <c r="BA17" s="182"/>
      <c r="BB17" s="182"/>
      <c r="BC17" s="191"/>
      <c r="BD17" s="182"/>
      <c r="BE17" s="182"/>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row>
    <row r="18" spans="4:83" s="225" customFormat="1" ht="72.75" customHeight="1" x14ac:dyDescent="0.25">
      <c r="D18" s="480"/>
      <c r="E18" s="474"/>
      <c r="F18" s="474"/>
      <c r="G18" s="474"/>
      <c r="H18" s="474"/>
      <c r="I18" s="238" t="s">
        <v>434</v>
      </c>
      <c r="J18" s="451"/>
      <c r="K18" s="241"/>
      <c r="L18" s="182"/>
      <c r="M18" s="241"/>
      <c r="N18" s="451"/>
      <c r="O18" s="451"/>
      <c r="P18" s="451"/>
      <c r="Q18" s="459"/>
      <c r="R18" s="451"/>
      <c r="S18" s="449"/>
      <c r="T18" s="461"/>
      <c r="U18" s="465"/>
      <c r="V18" s="461"/>
      <c r="W18" s="463"/>
      <c r="X18" s="461"/>
      <c r="Y18" s="449"/>
      <c r="Z18" s="196">
        <v>4</v>
      </c>
      <c r="AA18" s="210" t="s">
        <v>433</v>
      </c>
      <c r="AB18" s="182" t="s">
        <v>432</v>
      </c>
      <c r="AC18" s="185" t="str">
        <f t="shared" si="0"/>
        <v>Probabilidad</v>
      </c>
      <c r="AD18" s="244" t="s">
        <v>13</v>
      </c>
      <c r="AE18" s="244" t="s">
        <v>8</v>
      </c>
      <c r="AF18" s="189" t="str">
        <f t="shared" si="1"/>
        <v>40%</v>
      </c>
      <c r="AG18" s="244" t="s">
        <v>18</v>
      </c>
      <c r="AH18" s="244" t="s">
        <v>21</v>
      </c>
      <c r="AI18" s="244" t="s">
        <v>117</v>
      </c>
      <c r="AJ18" s="218" t="s">
        <v>394</v>
      </c>
      <c r="AK18" s="224">
        <f>IFERROR(IF(AND(AC17="Probabilidad",AC18="Probabilidad"),(AM17-(+AM17*AF18)),IF(AC18="Probabilidad",(U17-(+U17*AC18)),IF(AC18="Impacto",AM17,""))),"")</f>
        <v>0.10367999999999998</v>
      </c>
      <c r="AL18" s="228" t="str">
        <f t="shared" si="2"/>
        <v>Muy Baja</v>
      </c>
      <c r="AM18" s="189">
        <f t="shared" si="3"/>
        <v>0.10367999999999998</v>
      </c>
      <c r="AN18" s="228" t="str">
        <f t="shared" si="4"/>
        <v>Catastrófico</v>
      </c>
      <c r="AO18" s="189">
        <f>IFERROR(IF(AC18="Impacto",(X15-(+X15*AF18)),IF(AC18="Probabilidad",X15,"")),"")</f>
        <v>1</v>
      </c>
      <c r="AP18" s="228" t="str">
        <f t="shared" si="5"/>
        <v>Extremo</v>
      </c>
      <c r="AQ18" s="244" t="s">
        <v>133</v>
      </c>
      <c r="AR18" s="488"/>
      <c r="AS18" s="158" t="s">
        <v>431</v>
      </c>
      <c r="AT18" s="495"/>
      <c r="AU18" s="520"/>
      <c r="AV18" s="191"/>
      <c r="AW18" s="182"/>
      <c r="AX18" s="182"/>
      <c r="AY18" s="191"/>
      <c r="AZ18" s="182"/>
      <c r="BA18" s="182"/>
      <c r="BB18" s="182"/>
      <c r="BC18" s="191"/>
      <c r="BD18" s="182"/>
      <c r="BE18" s="182"/>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row>
    <row r="19" spans="4:83" s="225" customFormat="1" ht="270" customHeight="1" x14ac:dyDescent="0.25">
      <c r="D19" s="243" t="s">
        <v>519</v>
      </c>
      <c r="E19" s="212" t="s">
        <v>218</v>
      </c>
      <c r="F19" s="212" t="s">
        <v>131</v>
      </c>
      <c r="G19" s="212" t="s">
        <v>311</v>
      </c>
      <c r="H19" s="183" t="s">
        <v>223</v>
      </c>
      <c r="I19" s="226" t="s">
        <v>430</v>
      </c>
      <c r="J19" s="219" t="s">
        <v>429</v>
      </c>
      <c r="K19" s="241"/>
      <c r="L19" s="182"/>
      <c r="M19" s="241"/>
      <c r="N19" s="219" t="s">
        <v>428</v>
      </c>
      <c r="O19" s="182" t="s">
        <v>124</v>
      </c>
      <c r="P19" s="218" t="s">
        <v>427</v>
      </c>
      <c r="Q19" s="239" t="s">
        <v>236</v>
      </c>
      <c r="R19" s="218">
        <v>500</v>
      </c>
      <c r="S19" s="193" t="str">
        <f>IF(R19&lt;=0,"",IF(R19&lt;=2,"Muy Baja",IF(R19&lt;=24,"Baja",IF(R19&lt;=500,"Media",IF(R19&lt;=5000,"Alta","Muy Alta")))))</f>
        <v>Media</v>
      </c>
      <c r="T19" s="189">
        <f>IF(S19="","",IF(S19="Muy Baja",0.2,IF(S19="Baja",0.4,IF(S19="Media",0.6,IF(S19="Alta",0.8,IF(S19="Muy Alta",1,))))))</f>
        <v>0.6</v>
      </c>
      <c r="U19" s="194" t="s">
        <v>151</v>
      </c>
      <c r="V19" s="242" t="str">
        <f>IF(NOT(ISERROR(MATCH(U19,'[2]Tabla Impacto'!$B$221:$B$223,0))),'[2]Tabla Impacto'!$F$223&amp;"Por favor no seleccionar los criterios de impacto(Afectación Económica o presupuestal y Pérdida Reputacional)",U19)</f>
        <v xml:space="preserve">     El riesgo afecta la imagen de de la entidad con efecto publicitario sostenido a nivel de sector administrativo, nivel departamental o municipal</v>
      </c>
      <c r="W19" s="234" t="str">
        <f>IF(OR(V19='[3]Tabla Impacto'!$C$11,V19='[3]Tabla Impacto'!$D$11),"Leve",IF(OR(V19='[3]Tabla Impacto'!$C$12,V19='[3]Tabla Impacto'!$D$12),"Menor",IF(OR(V19='[3]Tabla Impacto'!$C$13,V19='[3]Tabla Impacto'!$D$13),"Moderado",IF(OR(V19='[3]Tabla Impacto'!$C$14,V19='[3]Tabla Impacto'!$D$14),"Mayor",IF(OR(V19='[3]Tabla Impacto'!$C$15,V19='[3]Tabla Impacto'!$D$15),"Catastrófico","")))))</f>
        <v>Mayor</v>
      </c>
      <c r="X19" s="189">
        <f>IF(W19="","",IF(W19="Leve",0.2,IF(W19="Menor",0.4,IF(W19="Moderado",0.6,IF(W19="Mayor",0.8,IF(W19="Catastrófico",1,))))))</f>
        <v>0.8</v>
      </c>
      <c r="Y19" s="193" t="str">
        <f>IF(OR(AND(S19="Muy Baja",W19="Leve"),AND(S19="Muy Baja",W19="Menor"),AND(S19="Baja",W19="Leve")),"Bajo",IF(OR(AND(S19="Muy baja",W19="Moderado"),AND(S19="Baja",W19="Menor"),AND(S19="Baja",W19="Moderado"),AND(S19="Media",W19="Leve"),AND(S19="Media",W19="Menor"),AND(S19="Media",W19="Moderado"),AND(S19="Alta",W19="Leve"),AND(S19="Alta",W19="Menor")),"Moderado",IF(OR(AND(S19="Muy Baja",W19="Mayor"),AND(S19="Baja",W19="Mayor"),AND(S19="Media",W19="Mayor"),AND(S19="Alta",W19="Moderado"),AND(S19="Alta",W19="Mayor"),AND(S19="Muy Alta",W19="Leve"),AND(S19="Muy Alta",W19="Menor"),AND(S19="Muy Alta",W19="Moderado"),AND(S19="Muy Alta",W19="Mayor")),"Alto",IF(OR(AND(S19="Muy Baja",W19="Catastrófico"),AND(S19="Baja",W19="Catastrófico"),AND(S19="Media",W19="Catastrófico"),AND(S19="Alta",W19="Catastrófico"),AND(S19="Muy Alta",W19="Catastrófico")),"Extremo",""))))</f>
        <v>Alto</v>
      </c>
      <c r="Z19" s="196">
        <v>1</v>
      </c>
      <c r="AA19" s="210" t="s">
        <v>426</v>
      </c>
      <c r="AB19" s="203" t="s">
        <v>425</v>
      </c>
      <c r="AC19" s="185" t="str">
        <f t="shared" si="0"/>
        <v>Probabilidad</v>
      </c>
      <c r="AD19" s="190" t="s">
        <v>13</v>
      </c>
      <c r="AE19" s="190" t="s">
        <v>8</v>
      </c>
      <c r="AF19" s="189" t="str">
        <f t="shared" si="1"/>
        <v>40%</v>
      </c>
      <c r="AG19" s="190" t="s">
        <v>18</v>
      </c>
      <c r="AH19" s="190" t="s">
        <v>22</v>
      </c>
      <c r="AI19" s="190" t="s">
        <v>117</v>
      </c>
      <c r="AJ19" s="218" t="s">
        <v>394</v>
      </c>
      <c r="AK19" s="237">
        <f>IFERROR(IF(AC19="Probabilidad",(T19-(+T19*AF19)),IF(AC19="Impacto",T19,"")),"")</f>
        <v>0.36</v>
      </c>
      <c r="AL19" s="228" t="str">
        <f t="shared" si="2"/>
        <v>Baja</v>
      </c>
      <c r="AM19" s="189">
        <f t="shared" si="3"/>
        <v>0.36</v>
      </c>
      <c r="AN19" s="228" t="str">
        <f t="shared" si="4"/>
        <v>Mayor</v>
      </c>
      <c r="AO19" s="189">
        <f t="shared" ref="AO19:AO25" si="6">IFERROR(IF(AC19="Impacto",(X19-(+X19*AF19)),IF(AC19="Probabilidad",X19,"")),"")</f>
        <v>0.8</v>
      </c>
      <c r="AP19" s="228" t="str">
        <f t="shared" si="5"/>
        <v>Alto</v>
      </c>
      <c r="AQ19" s="244" t="s">
        <v>133</v>
      </c>
      <c r="AR19" s="232" t="s">
        <v>424</v>
      </c>
      <c r="AS19" s="232" t="s">
        <v>423</v>
      </c>
      <c r="AT19" s="231" t="s">
        <v>391</v>
      </c>
      <c r="AU19" s="191">
        <v>45687</v>
      </c>
      <c r="AV19" s="191"/>
      <c r="AW19" s="182"/>
      <c r="AX19" s="182"/>
      <c r="AY19" s="191"/>
      <c r="AZ19" s="182"/>
      <c r="BA19" s="182"/>
      <c r="BB19" s="182"/>
      <c r="BC19" s="191"/>
      <c r="BD19" s="182"/>
      <c r="BE19" s="182"/>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row>
    <row r="20" spans="4:83" s="225" customFormat="1" ht="279" customHeight="1" x14ac:dyDescent="0.25">
      <c r="D20" s="196" t="s">
        <v>520</v>
      </c>
      <c r="E20" s="212" t="s">
        <v>218</v>
      </c>
      <c r="F20" s="212" t="s">
        <v>131</v>
      </c>
      <c r="G20" s="212" t="s">
        <v>311</v>
      </c>
      <c r="H20" s="183" t="s">
        <v>227</v>
      </c>
      <c r="I20" s="210" t="s">
        <v>422</v>
      </c>
      <c r="J20" s="182" t="s">
        <v>407</v>
      </c>
      <c r="K20" s="236"/>
      <c r="L20" s="182"/>
      <c r="M20" s="236"/>
      <c r="N20" s="218" t="s">
        <v>421</v>
      </c>
      <c r="O20" s="182" t="s">
        <v>124</v>
      </c>
      <c r="P20" s="218" t="s">
        <v>414</v>
      </c>
      <c r="Q20" s="239" t="s">
        <v>234</v>
      </c>
      <c r="R20" s="182">
        <v>50000</v>
      </c>
      <c r="S20" s="193" t="str">
        <f>IF(R20&lt;=0,"",IF(R20&lt;=2,"Muy Baja",IF(R20&lt;=24,"Baja",IF(R20&lt;=500,"Media",IF(R20&lt;=5000,"Alta","Muy Alta")))))</f>
        <v>Muy Alta</v>
      </c>
      <c r="T20" s="189">
        <f>IF(S20="","",IF(S20="Muy Baja",0.2,IF(S20="Baja",0.4,IF(S20="Media",0.6,IF(S20="Alta",0.8,IF(S20="Muy Alta",1,))))))</f>
        <v>1</v>
      </c>
      <c r="U20" s="194" t="s">
        <v>151</v>
      </c>
      <c r="V20" s="242" t="str">
        <f>IF(NOT(ISERROR(MATCH(U20,'[2]Tabla Impacto'!$B$221:$B$223,0))),'[2]Tabla Impacto'!$F$223&amp;"Por favor no seleccionar los criterios de impacto(Afectación Económica o presupuestal y Pérdida Reputacional)",U20)</f>
        <v xml:space="preserve">     El riesgo afecta la imagen de de la entidad con efecto publicitario sostenido a nivel de sector administrativo, nivel departamental o municipal</v>
      </c>
      <c r="W20" s="234" t="str">
        <f>IF(OR(V20='[3]Tabla Impacto'!$C$11,V20='[3]Tabla Impacto'!$D$11),"Leve",IF(OR(V20='[3]Tabla Impacto'!$C$12,V20='[3]Tabla Impacto'!$D$12),"Menor",IF(OR(V20='[3]Tabla Impacto'!$C$13,V20='[3]Tabla Impacto'!$D$13),"Moderado",IF(OR(V20='[3]Tabla Impacto'!$C$14,V20='[3]Tabla Impacto'!$D$14),"Mayor",IF(OR(V20='[3]Tabla Impacto'!$C$15,V20='[3]Tabla Impacto'!$D$15),"Catastrófico","")))))</f>
        <v>Mayor</v>
      </c>
      <c r="X20" s="189">
        <f>IF(W20="","",IF(W20="Leve",0.2,IF(W20="Menor",0.4,IF(W20="Moderado",0.6,IF(W20="Mayor",0.8,IF(W20="Catastrófico",1,))))))</f>
        <v>0.8</v>
      </c>
      <c r="Y20" s="193" t="str">
        <f>IF(OR(AND(S20="Muy Baja",W20="Leve"),AND(S20="Muy Baja",W20="Menor"),AND(S20="Baja",W20="Leve")),"Bajo",IF(OR(AND(S20="Muy baja",W20="Moderado"),AND(S20="Baja",W20="Menor"),AND(S20="Baja",W20="Moderado"),AND(S20="Media",W20="Leve"),AND(S20="Media",W20="Menor"),AND(S20="Media",W20="Moderado"),AND(S20="Alta",W20="Leve"),AND(S20="Alta",W20="Menor")),"Moderado",IF(OR(AND(S20="Muy Baja",W20="Mayor"),AND(S20="Baja",W20="Mayor"),AND(S20="Media",W20="Mayor"),AND(S20="Alta",W20="Moderado"),AND(S20="Alta",W20="Mayor"),AND(S20="Muy Alta",W20="Leve"),AND(S20="Muy Alta",W20="Menor"),AND(S20="Muy Alta",W20="Moderado"),AND(S20="Muy Alta",W20="Mayor")),"Alto",IF(OR(AND(S20="Muy Baja",W20="Catastrófico"),AND(S20="Baja",W20="Catastrófico"),AND(S20="Media",W20="Catastrófico"),AND(S20="Alta",W20="Catastrófico"),AND(S20="Muy Alta",W20="Catastrófico")),"Extremo",""))))</f>
        <v>Alto</v>
      </c>
      <c r="Z20" s="196">
        <v>1</v>
      </c>
      <c r="AA20" s="210" t="s">
        <v>420</v>
      </c>
      <c r="AB20" s="182" t="s">
        <v>419</v>
      </c>
      <c r="AC20" s="185" t="str">
        <f t="shared" si="0"/>
        <v>Probabilidad</v>
      </c>
      <c r="AD20" s="190" t="s">
        <v>13</v>
      </c>
      <c r="AE20" s="190" t="s">
        <v>8</v>
      </c>
      <c r="AF20" s="189" t="str">
        <f t="shared" si="1"/>
        <v>40%</v>
      </c>
      <c r="AG20" s="190" t="s">
        <v>18</v>
      </c>
      <c r="AH20" s="190" t="s">
        <v>22</v>
      </c>
      <c r="AI20" s="190" t="s">
        <v>117</v>
      </c>
      <c r="AJ20" s="218" t="s">
        <v>394</v>
      </c>
      <c r="AK20" s="237">
        <f>IFERROR(IF(AC20="Probabilidad",(T20-(+T20*AF20)),IF(AC20="Impacto",T20,"")),"")</f>
        <v>0.6</v>
      </c>
      <c r="AL20" s="228" t="str">
        <f t="shared" si="2"/>
        <v>Media</v>
      </c>
      <c r="AM20" s="189">
        <f t="shared" si="3"/>
        <v>0.6</v>
      </c>
      <c r="AN20" s="228" t="str">
        <f t="shared" si="4"/>
        <v>Mayor</v>
      </c>
      <c r="AO20" s="189">
        <f t="shared" si="6"/>
        <v>0.8</v>
      </c>
      <c r="AP20" s="228" t="str">
        <f t="shared" si="5"/>
        <v>Alto</v>
      </c>
      <c r="AQ20" s="244" t="s">
        <v>133</v>
      </c>
      <c r="AR20" s="158" t="s">
        <v>401</v>
      </c>
      <c r="AS20" s="158" t="s">
        <v>418</v>
      </c>
      <c r="AT20" s="231" t="s">
        <v>391</v>
      </c>
      <c r="AU20" s="191">
        <v>45687</v>
      </c>
      <c r="AV20" s="191"/>
      <c r="AW20" s="182"/>
      <c r="AX20" s="182"/>
      <c r="AY20" s="191"/>
      <c r="AZ20" s="182"/>
      <c r="BA20" s="182"/>
      <c r="BB20" s="182"/>
      <c r="BC20" s="191"/>
      <c r="BD20" s="182"/>
      <c r="BE20" s="182"/>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row>
    <row r="21" spans="4:83" s="225" customFormat="1" ht="110.25" customHeight="1" x14ac:dyDescent="0.25">
      <c r="D21" s="473" t="s">
        <v>521</v>
      </c>
      <c r="E21" s="473" t="s">
        <v>218</v>
      </c>
      <c r="F21" s="473" t="s">
        <v>131</v>
      </c>
      <c r="G21" s="473" t="s">
        <v>311</v>
      </c>
      <c r="H21" s="473" t="s">
        <v>227</v>
      </c>
      <c r="I21" s="493" t="s">
        <v>417</v>
      </c>
      <c r="J21" s="450" t="s">
        <v>416</v>
      </c>
      <c r="K21" s="241"/>
      <c r="L21" s="182"/>
      <c r="M21" s="241"/>
      <c r="N21" s="502" t="s">
        <v>415</v>
      </c>
      <c r="O21" s="450" t="s">
        <v>124</v>
      </c>
      <c r="P21" s="450" t="s">
        <v>414</v>
      </c>
      <c r="Q21" s="458" t="s">
        <v>234</v>
      </c>
      <c r="R21" s="450">
        <v>5000</v>
      </c>
      <c r="S21" s="448" t="str">
        <f>IF(R21&lt;=0,"",IF(R21&lt;=2,"Muy Baja",IF(R21&lt;=24,"Baja",IF(R21&lt;=500,"Media",IF(R21&lt;=5000,"Alta","Muy Alta")))))</f>
        <v>Alta</v>
      </c>
      <c r="T21" s="460">
        <f>IF(S21="","",IF(S21="Muy Baja",0.2,IF(S21="Baja",0.4,IF(S21="Media",0.6,IF(S21="Alta",0.8,IF(S21="Muy Alta",1,))))))</f>
        <v>0.8</v>
      </c>
      <c r="U21" s="464" t="s">
        <v>152</v>
      </c>
      <c r="V21" s="460" t="str">
        <f>IF(NOT(ISERROR(MATCH(U21,'[2]Tabla Impacto'!$B$221:$B$223,0))),'[2]Tabla Impacto'!$F$223&amp;"Por favor no seleccionar los criterios de impacto(Afectación Económica o presupuestal y Pérdida Reputacional)",U21)</f>
        <v xml:space="preserve">     El riesgo afecta la imagen de la entidad a nivel nacional, con efecto publicitarios sostenible a nivel país</v>
      </c>
      <c r="W21" s="462" t="str">
        <f>IF(OR(V21='[3]Tabla Impacto'!$C$11,V21='[3]Tabla Impacto'!$D$11),"Leve",IF(OR(V21='[3]Tabla Impacto'!$C$12,V21='[3]Tabla Impacto'!$D$12),"Menor",IF(OR(V21='[3]Tabla Impacto'!$C$13,V21='[3]Tabla Impacto'!$D$13),"Moderado",IF(OR(V21='[3]Tabla Impacto'!$C$14,V21='[3]Tabla Impacto'!$D$14),"Mayor",IF(OR(V21='[3]Tabla Impacto'!$C$15,V21='[3]Tabla Impacto'!$D$15),"Catastrófico","")))))</f>
        <v>Catastrófico</v>
      </c>
      <c r="X21" s="460">
        <f>IF(W21="","",IF(W21="Leve",0.2,IF(W21="Menor",0.4,IF(W21="Moderado",0.6,IF(W21="Mayor",0.8,IF(W21="Catastrófico",1,))))))</f>
        <v>1</v>
      </c>
      <c r="Y21" s="448" t="str">
        <f>IF(OR(AND(S21="Muy Baja",W21="Leve"),AND(S21="Muy Baja",W21="Menor"),AND(S21="Baja",W21="Leve")),"Bajo",IF(OR(AND(S21="Muy baja",W21="Moderado"),AND(S21="Baja",W21="Menor"),AND(S21="Baja",W21="Moderado"),AND(S21="Media",W21="Leve"),AND(S21="Media",W21="Menor"),AND(S21="Media",W21="Moderado"),AND(S21="Alta",W21="Leve"),AND(S21="Alta",W21="Menor")),"Moderado",IF(OR(AND(S21="Muy Baja",W21="Mayor"),AND(S21="Baja",W21="Mayor"),AND(S21="Media",W21="Mayor"),AND(S21="Alta",W21="Moderado"),AND(S21="Alta",W21="Mayor"),AND(S21="Muy Alta",W21="Leve"),AND(S21="Muy Alta",W21="Menor"),AND(S21="Muy Alta",W21="Moderado"),AND(S21="Muy Alta",W21="Mayor")),"Alto",IF(OR(AND(S21="Muy Baja",W21="Catastrófico"),AND(S21="Baja",W21="Catastrófico"),AND(S21="Media",W21="Catastrófico"),AND(S21="Alta",W21="Catastrófico"),AND(S21="Muy Alta",W21="Catastrófico")),"Extremo",""))))</f>
        <v>Extremo</v>
      </c>
      <c r="Z21" s="196">
        <v>1</v>
      </c>
      <c r="AA21" s="238" t="s">
        <v>413</v>
      </c>
      <c r="AB21" s="450" t="s">
        <v>412</v>
      </c>
      <c r="AC21" s="185" t="str">
        <f t="shared" si="0"/>
        <v>Probabilidad</v>
      </c>
      <c r="AD21" s="190" t="s">
        <v>13</v>
      </c>
      <c r="AE21" s="190" t="s">
        <v>8</v>
      </c>
      <c r="AF21" s="189" t="str">
        <f t="shared" si="1"/>
        <v>40%</v>
      </c>
      <c r="AG21" s="190" t="s">
        <v>18</v>
      </c>
      <c r="AH21" s="190" t="s">
        <v>21</v>
      </c>
      <c r="AI21" s="190" t="s">
        <v>117</v>
      </c>
      <c r="AJ21" s="218" t="s">
        <v>394</v>
      </c>
      <c r="AK21" s="237">
        <f>IFERROR(IF(AC21="Probabilidad",(T21-(+T21*AF21)),IF(AC21="Impacto",T21,"")),"")</f>
        <v>0.48</v>
      </c>
      <c r="AL21" s="228" t="str">
        <f t="shared" si="2"/>
        <v>Media</v>
      </c>
      <c r="AM21" s="189">
        <f t="shared" si="3"/>
        <v>0.48</v>
      </c>
      <c r="AN21" s="228" t="str">
        <f t="shared" si="4"/>
        <v>Catastrófico</v>
      </c>
      <c r="AO21" s="189">
        <f t="shared" si="6"/>
        <v>1</v>
      </c>
      <c r="AP21" s="228" t="str">
        <f t="shared" si="5"/>
        <v>Extremo</v>
      </c>
      <c r="AQ21" s="244" t="s">
        <v>133</v>
      </c>
      <c r="AR21" s="487" t="s">
        <v>401</v>
      </c>
      <c r="AS21" s="158" t="s">
        <v>411</v>
      </c>
      <c r="AT21" s="495" t="s">
        <v>391</v>
      </c>
      <c r="AU21" s="191">
        <v>45687</v>
      </c>
      <c r="AV21" s="191"/>
      <c r="AW21" s="182"/>
      <c r="AX21" s="182"/>
      <c r="AY21" s="191"/>
      <c r="AZ21" s="182"/>
      <c r="BA21" s="182"/>
      <c r="BB21" s="182"/>
      <c r="BC21" s="191"/>
      <c r="BD21" s="182"/>
      <c r="BE21" s="182"/>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row>
    <row r="22" spans="4:83" s="225" customFormat="1" ht="110.25" customHeight="1" x14ac:dyDescent="0.25">
      <c r="D22" s="474"/>
      <c r="E22" s="474"/>
      <c r="F22" s="474"/>
      <c r="G22" s="474"/>
      <c r="H22" s="474"/>
      <c r="I22" s="494"/>
      <c r="J22" s="451"/>
      <c r="K22" s="241"/>
      <c r="L22" s="182"/>
      <c r="M22" s="241"/>
      <c r="N22" s="503"/>
      <c r="O22" s="451"/>
      <c r="P22" s="451"/>
      <c r="Q22" s="459"/>
      <c r="R22" s="451"/>
      <c r="S22" s="449"/>
      <c r="T22" s="461"/>
      <c r="U22" s="465"/>
      <c r="V22" s="461"/>
      <c r="W22" s="463"/>
      <c r="X22" s="461"/>
      <c r="Y22" s="449"/>
      <c r="Z22" s="196">
        <v>2</v>
      </c>
      <c r="AA22" s="238" t="s">
        <v>410</v>
      </c>
      <c r="AB22" s="451"/>
      <c r="AC22" s="185" t="str">
        <f t="shared" si="0"/>
        <v>Probabilidad</v>
      </c>
      <c r="AD22" s="190" t="s">
        <v>13</v>
      </c>
      <c r="AE22" s="190" t="s">
        <v>8</v>
      </c>
      <c r="AF22" s="189" t="str">
        <f t="shared" si="1"/>
        <v>40%</v>
      </c>
      <c r="AG22" s="190" t="s">
        <v>18</v>
      </c>
      <c r="AH22" s="190" t="s">
        <v>21</v>
      </c>
      <c r="AI22" s="190" t="s">
        <v>117</v>
      </c>
      <c r="AJ22" s="218" t="s">
        <v>394</v>
      </c>
      <c r="AK22" s="224">
        <f>IFERROR(IF(AND(AC21="Probabilidad",AC22="Probabilidad"),(AM21-(+AM21*AF22)),IF(AC22="Probabilidad",(U21-(+U21*AC22)),IF(AC22="Impacto",AM21,""))),"")</f>
        <v>0.28799999999999998</v>
      </c>
      <c r="AL22" s="228" t="str">
        <f t="shared" si="2"/>
        <v>Baja</v>
      </c>
      <c r="AM22" s="189">
        <f t="shared" si="3"/>
        <v>0.28799999999999998</v>
      </c>
      <c r="AN22" s="228" t="str">
        <f t="shared" si="4"/>
        <v>Leve</v>
      </c>
      <c r="AO22" s="189">
        <f t="shared" si="6"/>
        <v>0</v>
      </c>
      <c r="AP22" s="228" t="str">
        <f t="shared" si="5"/>
        <v>Bajo</v>
      </c>
      <c r="AQ22" s="244" t="s">
        <v>133</v>
      </c>
      <c r="AR22" s="488"/>
      <c r="AS22" s="158" t="s">
        <v>409</v>
      </c>
      <c r="AT22" s="495"/>
      <c r="AU22" s="191">
        <v>45687</v>
      </c>
      <c r="AV22" s="191"/>
      <c r="AW22" s="182"/>
      <c r="AX22" s="182"/>
      <c r="AY22" s="191"/>
      <c r="AZ22" s="182"/>
      <c r="BA22" s="182"/>
      <c r="BB22" s="182"/>
      <c r="BC22" s="191"/>
      <c r="BD22" s="182"/>
      <c r="BE22" s="182"/>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row>
    <row r="23" spans="4:83" s="225" customFormat="1" ht="224.25" customHeight="1" x14ac:dyDescent="0.25">
      <c r="D23" s="183" t="s">
        <v>522</v>
      </c>
      <c r="E23" s="212" t="s">
        <v>218</v>
      </c>
      <c r="F23" s="212" t="s">
        <v>131</v>
      </c>
      <c r="G23" s="212" t="s">
        <v>311</v>
      </c>
      <c r="H23" s="183" t="s">
        <v>227</v>
      </c>
      <c r="I23" s="210" t="s">
        <v>408</v>
      </c>
      <c r="J23" s="182" t="s">
        <v>407</v>
      </c>
      <c r="K23" s="236"/>
      <c r="L23" s="182"/>
      <c r="M23" s="236"/>
      <c r="N23" s="240" t="s">
        <v>406</v>
      </c>
      <c r="O23" s="182" t="s">
        <v>124</v>
      </c>
      <c r="P23" s="218" t="s">
        <v>405</v>
      </c>
      <c r="Q23" s="239" t="s">
        <v>236</v>
      </c>
      <c r="R23" s="182" t="s">
        <v>404</v>
      </c>
      <c r="S23" s="193" t="str">
        <f>IF(R23&lt;=0,"",IF(R23&lt;=2,"Muy Baja",IF(R23&lt;=24,"Baja",IF(R23&lt;=500,"Media",IF(R23&lt;=5000,"Alta","Muy Alta")))))</f>
        <v>Muy Alta</v>
      </c>
      <c r="T23" s="189">
        <f>IF(S23="","",IF(S23="Muy Baja",0.2,IF(S23="Baja",0.4,IF(S23="Media",0.6,IF(S23="Alta",0.8,IF(S23="Muy Alta",1,))))))</f>
        <v>1</v>
      </c>
      <c r="U23" s="194" t="s">
        <v>152</v>
      </c>
      <c r="V23" s="189" t="str">
        <f>IF(NOT(ISERROR(MATCH(U23,'[2]Tabla Impacto'!$B$221:$B$223,0))),'[2]Tabla Impacto'!$F$223&amp;"Por favor no seleccionar los criterios de impacto(Afectación Económica o presupuestal y Pérdida Reputacional)",U23)</f>
        <v xml:space="preserve">     El riesgo afecta la imagen de la entidad a nivel nacional, con efecto publicitarios sostenible a nivel país</v>
      </c>
      <c r="W23" s="234" t="str">
        <f>IF(OR(V23='[3]Tabla Impacto'!$C$11,V23='[3]Tabla Impacto'!$D$11),"Leve",IF(OR(V23='[3]Tabla Impacto'!$C$12,V23='[3]Tabla Impacto'!$D$12),"Menor",IF(OR(V23='[3]Tabla Impacto'!$C$13,V23='[3]Tabla Impacto'!$D$13),"Moderado",IF(OR(V23='[3]Tabla Impacto'!$C$14,V23='[3]Tabla Impacto'!$D$14),"Mayor",IF(OR(V23='[3]Tabla Impacto'!$C$15,V23='[3]Tabla Impacto'!$D$15),"Catastrófico","")))))</f>
        <v>Catastrófico</v>
      </c>
      <c r="X23" s="189">
        <f>IF(W23="","",IF(W23="Leve",0.2,IF(W23="Menor",0.4,IF(W23="Moderado",0.6,IF(W23="Mayor",0.8,IF(W23="Catastrófico",1,))))))</f>
        <v>1</v>
      </c>
      <c r="Y23" s="193" t="str">
        <f>IF(OR(AND(S23="Muy Baja",W23="Leve"),AND(S23="Muy Baja",W23="Menor"),AND(S23="Baja",W23="Leve")),"Bajo",IF(OR(AND(S23="Muy baja",W23="Moderado"),AND(S23="Baja",W23="Menor"),AND(S23="Baja",W23="Moderado"),AND(S23="Media",W23="Leve"),AND(S23="Media",W23="Menor"),AND(S23="Media",W23="Moderado"),AND(S23="Alta",W23="Leve"),AND(S23="Alta",W23="Menor")),"Moderado",IF(OR(AND(S23="Muy Baja",W23="Mayor"),AND(S23="Baja",W23="Mayor"),AND(S23="Media",W23="Mayor"),AND(S23="Alta",W23="Moderado"),AND(S23="Alta",W23="Mayor"),AND(S23="Muy Alta",W23="Leve"),AND(S23="Muy Alta",W23="Menor"),AND(S23="Muy Alta",W23="Moderado"),AND(S23="Muy Alta",W23="Mayor")),"Alto",IF(OR(AND(S23="Muy Baja",W23="Catastrófico"),AND(S23="Baja",W23="Catastrófico"),AND(S23="Media",W23="Catastrófico"),AND(S23="Alta",W23="Catastrófico"),AND(S23="Muy Alta",W23="Catastrófico")),"Extremo",""))))</f>
        <v>Extremo</v>
      </c>
      <c r="Z23" s="196">
        <v>1</v>
      </c>
      <c r="AA23" s="238" t="s">
        <v>403</v>
      </c>
      <c r="AB23" s="182" t="s">
        <v>402</v>
      </c>
      <c r="AC23" s="185" t="str">
        <f t="shared" si="0"/>
        <v>Probabilidad</v>
      </c>
      <c r="AD23" s="190" t="s">
        <v>13</v>
      </c>
      <c r="AE23" s="190" t="s">
        <v>8</v>
      </c>
      <c r="AF23" s="189" t="str">
        <f t="shared" si="1"/>
        <v>40%</v>
      </c>
      <c r="AG23" s="190" t="s">
        <v>18</v>
      </c>
      <c r="AH23" s="190" t="s">
        <v>21</v>
      </c>
      <c r="AI23" s="190" t="s">
        <v>117</v>
      </c>
      <c r="AJ23" s="218" t="s">
        <v>394</v>
      </c>
      <c r="AK23" s="237">
        <f>IFERROR(IF(AC23="Probabilidad",(T23-(+T23*AF23)),IF(AC23="Impacto",T23,"")),"")</f>
        <v>0.6</v>
      </c>
      <c r="AL23" s="228" t="str">
        <f t="shared" si="2"/>
        <v>Media</v>
      </c>
      <c r="AM23" s="189">
        <f t="shared" si="3"/>
        <v>0.6</v>
      </c>
      <c r="AN23" s="228" t="str">
        <f t="shared" si="4"/>
        <v>Catastrófico</v>
      </c>
      <c r="AO23" s="189">
        <f t="shared" si="6"/>
        <v>1</v>
      </c>
      <c r="AP23" s="228" t="str">
        <f t="shared" si="5"/>
        <v>Extremo</v>
      </c>
      <c r="AQ23" s="244" t="s">
        <v>133</v>
      </c>
      <c r="AR23" s="158" t="s">
        <v>401</v>
      </c>
      <c r="AS23" s="158" t="s">
        <v>400</v>
      </c>
      <c r="AT23" s="231" t="s">
        <v>391</v>
      </c>
      <c r="AU23" s="191">
        <v>45687</v>
      </c>
      <c r="AV23" s="191"/>
      <c r="AW23" s="182"/>
      <c r="AX23" s="182"/>
      <c r="AY23" s="191"/>
      <c r="AZ23" s="182"/>
      <c r="BA23" s="182"/>
      <c r="BB23" s="182"/>
      <c r="BC23" s="191"/>
      <c r="BD23" s="182"/>
      <c r="BE23" s="182"/>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row>
    <row r="24" spans="4:83" s="225" customFormat="1" ht="264.75" customHeight="1" x14ac:dyDescent="0.25">
      <c r="D24" s="183" t="s">
        <v>523</v>
      </c>
      <c r="E24" s="212" t="s">
        <v>218</v>
      </c>
      <c r="F24" s="212" t="s">
        <v>131</v>
      </c>
      <c r="G24" s="212" t="s">
        <v>311</v>
      </c>
      <c r="H24" s="183" t="s">
        <v>225</v>
      </c>
      <c r="I24" s="226" t="s">
        <v>399</v>
      </c>
      <c r="J24" s="203" t="s">
        <v>398</v>
      </c>
      <c r="K24" s="236"/>
      <c r="L24" s="182"/>
      <c r="M24" s="236"/>
      <c r="N24" s="203" t="s">
        <v>397</v>
      </c>
      <c r="O24" s="182" t="s">
        <v>121</v>
      </c>
      <c r="P24" s="182" t="s">
        <v>231</v>
      </c>
      <c r="Q24" s="235" t="s">
        <v>236</v>
      </c>
      <c r="R24" s="182">
        <v>2</v>
      </c>
      <c r="S24" s="193" t="str">
        <f>IF(R24&lt;=0,"",IF(R24&lt;=2,"Muy Baja",IF(R24&lt;=24,"Baja",IF(R24&lt;=500,"Media",IF(R24&lt;=5000,"Alta","Muy Alta")))))</f>
        <v>Muy Baja</v>
      </c>
      <c r="T24" s="189">
        <f>IF(S24="","",IF(S24="Muy Baja",0.2,IF(S24="Baja",0.4,IF(S24="Media",0.6,IF(S24="Alta",0.8,IF(S24="Muy Alta",1,))))))</f>
        <v>0.2</v>
      </c>
      <c r="U24" s="194" t="s">
        <v>148</v>
      </c>
      <c r="V24" s="189" t="str">
        <f>IF(NOT(ISERROR(MATCH(U24,'[2]Tabla Impacto'!$B$221:$B$223,0))),'[2]Tabla Impacto'!$F$223&amp;"Por favor no seleccionar los criterios de impacto(Afectación Económica o presupuestal y Pérdida Reputacional)",U24)</f>
        <v xml:space="preserve">     El riesgo afecta la imagen de alguna área de la organización</v>
      </c>
      <c r="W24" s="234" t="str">
        <f>IF(OR(V24='[3]Tabla Impacto'!$C$11,V24='[3]Tabla Impacto'!$D$11),"Leve",IF(OR(V24='[3]Tabla Impacto'!$C$12,V24='[3]Tabla Impacto'!$D$12),"Menor",IF(OR(V24='[3]Tabla Impacto'!$C$13,V24='[3]Tabla Impacto'!$D$13),"Moderado",IF(OR(V24='[3]Tabla Impacto'!$C$14,V24='[3]Tabla Impacto'!$D$14),"Mayor",IF(OR(V24='[3]Tabla Impacto'!$C$15,V24='[3]Tabla Impacto'!$D$15),"Catastrófico","")))))</f>
        <v>Leve</v>
      </c>
      <c r="X24" s="189">
        <f>IF(W24="","",IF(W24="Leve",0.2,IF(W24="Menor",0.4,IF(W24="Moderado",0.6,IF(W24="Mayor",0.8,IF(W24="Catastrófico",1,))))))</f>
        <v>0.2</v>
      </c>
      <c r="Y24" s="193" t="str">
        <f>IF(OR(AND(S24="Muy Baja",W24="Leve"),AND(S24="Muy Baja",W24="Menor"),AND(S24="Baja",W24="Leve")),"Bajo",IF(OR(AND(S24="Muy baja",W24="Moderado"),AND(S24="Baja",W24="Menor"),AND(S24="Baja",W24="Moderado"),AND(S24="Media",W24="Leve"),AND(S24="Media",W24="Menor"),AND(S24="Media",W24="Moderado"),AND(S24="Alta",W24="Leve"),AND(S24="Alta",W24="Menor")),"Moderado",IF(OR(AND(S24="Muy Baja",W24="Mayor"),AND(S24="Baja",W24="Mayor"),AND(S24="Media",W24="Mayor"),AND(S24="Alta",W24="Moderado"),AND(S24="Alta",W24="Mayor"),AND(S24="Muy Alta",W24="Leve"),AND(S24="Muy Alta",W24="Menor"),AND(S24="Muy Alta",W24="Moderado"),AND(S24="Muy Alta",W24="Mayor")),"Alto",IF(OR(AND(S24="Muy Baja",W24="Catastrófico"),AND(S24="Baja",W24="Catastrófico"),AND(S24="Media",W24="Catastrófico"),AND(S24="Alta",W24="Catastrófico"),AND(S24="Muy Alta",W24="Catastrófico")),"Extremo",""))))</f>
        <v>Bajo</v>
      </c>
      <c r="Z24" s="196">
        <v>1</v>
      </c>
      <c r="AA24" s="210" t="s">
        <v>396</v>
      </c>
      <c r="AB24" s="203" t="s">
        <v>395</v>
      </c>
      <c r="AC24" s="185" t="str">
        <f t="shared" si="0"/>
        <v>Probabilidad</v>
      </c>
      <c r="AD24" s="190" t="s">
        <v>13</v>
      </c>
      <c r="AE24" s="190" t="s">
        <v>8</v>
      </c>
      <c r="AF24" s="189" t="str">
        <f t="shared" si="1"/>
        <v>40%</v>
      </c>
      <c r="AG24" s="190" t="s">
        <v>18</v>
      </c>
      <c r="AH24" s="190" t="s">
        <v>21</v>
      </c>
      <c r="AI24" s="190" t="s">
        <v>117</v>
      </c>
      <c r="AJ24" s="182" t="s">
        <v>394</v>
      </c>
      <c r="AK24" s="233">
        <f>IFERROR(IF(AC24="Probabilidad",(T24-(+T24*AF24)),IF(AC24="Impacto",T24,"")),"")</f>
        <v>0.12</v>
      </c>
      <c r="AL24" s="228" t="str">
        <f t="shared" si="2"/>
        <v>Muy Baja</v>
      </c>
      <c r="AM24" s="189">
        <f t="shared" si="3"/>
        <v>0.12</v>
      </c>
      <c r="AN24" s="228" t="str">
        <f t="shared" si="4"/>
        <v>Leve</v>
      </c>
      <c r="AO24" s="189">
        <f t="shared" si="6"/>
        <v>0.2</v>
      </c>
      <c r="AP24" s="228" t="str">
        <f t="shared" si="5"/>
        <v>Bajo</v>
      </c>
      <c r="AQ24" s="244" t="s">
        <v>133</v>
      </c>
      <c r="AR24" s="232" t="s">
        <v>393</v>
      </c>
      <c r="AS24" s="232" t="s">
        <v>392</v>
      </c>
      <c r="AT24" s="231" t="s">
        <v>391</v>
      </c>
      <c r="AU24" s="191">
        <v>45687</v>
      </c>
      <c r="AV24" s="191"/>
      <c r="AW24" s="182"/>
      <c r="AX24" s="182"/>
      <c r="AY24" s="191"/>
      <c r="AZ24" s="182"/>
      <c r="BA24" s="182"/>
      <c r="BB24" s="182"/>
      <c r="BC24" s="191"/>
      <c r="BD24" s="182"/>
      <c r="BE24" s="182"/>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row>
    <row r="25" spans="4:83" s="225" customFormat="1" ht="60" customHeight="1" x14ac:dyDescent="0.25">
      <c r="D25" s="473" t="s">
        <v>524</v>
      </c>
      <c r="E25" s="473" t="s">
        <v>324</v>
      </c>
      <c r="F25" s="473" t="s">
        <v>131</v>
      </c>
      <c r="G25" s="473" t="s">
        <v>311</v>
      </c>
      <c r="H25" s="269" t="s">
        <v>226</v>
      </c>
      <c r="I25" s="454" t="s">
        <v>490</v>
      </c>
      <c r="J25" s="454" t="s">
        <v>491</v>
      </c>
      <c r="K25" s="454" t="s">
        <v>490</v>
      </c>
      <c r="L25" s="182"/>
      <c r="M25" s="454" t="s">
        <v>491</v>
      </c>
      <c r="N25" s="454" t="s">
        <v>492</v>
      </c>
      <c r="O25" s="450" t="s">
        <v>121</v>
      </c>
      <c r="P25" s="450" t="s">
        <v>231</v>
      </c>
      <c r="Q25" s="458" t="s">
        <v>233</v>
      </c>
      <c r="R25" s="481">
        <v>50</v>
      </c>
      <c r="S25" s="448" t="str">
        <f>IF(R25&lt;=0,"",IF(R25&lt;=2,"Muy Baja",IF(R25&lt;=24,"Baja",IF(R25&lt;=500,"Media",IF(R25&lt;=5000,"Alta","Muy Alta")))))</f>
        <v>Media</v>
      </c>
      <c r="T25" s="460">
        <f>IF(S25="","",IF(S25="Muy Baja",0.2,IF(S25="Baja",0.4,IF(S25="Media",0.6,IF(S25="Alta",0.8,IF(S25="Muy Alta",1,))))))</f>
        <v>0.6</v>
      </c>
      <c r="U25" s="482" t="s">
        <v>149</v>
      </c>
      <c r="V25" s="460" t="str">
        <f>IF(NOT(ISERROR(MATCH(U25,'[2]Tabla Impacto'!$B$221:$B$223,0))),'[2]Tabla Impacto'!$F$223&amp;"Por favor no seleccionar los criterios de impacto(Afectación Económica o presupuestal y Pérdida Reputacional)",U25)</f>
        <v xml:space="preserve">     El riesgo afecta la imagen de la entidad internamente, de conocimiento general, nivel interno, de junta dircetiva y accionistas y/o de provedores</v>
      </c>
      <c r="W25" s="462" t="str">
        <f>IF(OR(V25='[3]Tabla Impacto'!$C$11,V25='[3]Tabla Impacto'!$D$11),"Leve",IF(OR(V25='[3]Tabla Impacto'!$C$12,V25='[3]Tabla Impacto'!$D$12),"Menor",IF(OR(V25='[3]Tabla Impacto'!$C$13,V25='[3]Tabla Impacto'!$D$13),"Moderado",IF(OR(V25='[3]Tabla Impacto'!$C$14,V25='[3]Tabla Impacto'!$D$14),"Mayor",IF(OR(V25='[3]Tabla Impacto'!$C$15,V25='[3]Tabla Impacto'!$D$15),"Catastrófico","")))))</f>
        <v>Menor</v>
      </c>
      <c r="X25" s="460">
        <f>IF(W25="","",IF(W25="Leve",0.2,IF(W25="Menor",0.4,IF(W25="Moderado",0.6,IF(W25="Mayor",0.8,IF(W25="Catastrófico",1,))))))</f>
        <v>0.4</v>
      </c>
      <c r="Y25" s="448" t="str">
        <f>IF(OR(AND(S25="Muy Baja",W25="Leve"),AND(S25="Muy Baja",W25="Menor"),AND(S25="Baja",W25="Leve")),"Bajo",IF(OR(AND(S25="Muy baja",W25="Moderado"),AND(S25="Baja",W25="Menor"),AND(S25="Baja",W25="Moderado"),AND(S25="Media",W25="Leve"),AND(S25="Media",W25="Menor"),AND(S25="Media",W25="Moderado"),AND(S25="Alta",W25="Leve"),AND(S25="Alta",W25="Menor")),"Moderado",IF(OR(AND(S25="Muy Baja",W25="Mayor"),AND(S25="Baja",W25="Mayor"),AND(S25="Media",W25="Mayor"),AND(S25="Alta",W25="Moderado"),AND(S25="Alta",W25="Mayor"),AND(S25="Muy Alta",W25="Leve"),AND(S25="Muy Alta",W25="Menor"),AND(S25="Muy Alta",W25="Moderado"),AND(S25="Muy Alta",W25="Mayor")),"Alto",IF(OR(AND(S25="Muy Baja",W25="Catastrófico"),AND(S25="Baja",W25="Catastrófico"),AND(S25="Media",W25="Catastrófico"),AND(S25="Alta",W25="Catastrófico"),AND(S25="Muy Alta",W25="Catastrófico")),"Extremo",""))))</f>
        <v>Moderado</v>
      </c>
      <c r="Z25" s="254">
        <v>1</v>
      </c>
      <c r="AA25" s="255" t="s">
        <v>493</v>
      </c>
      <c r="AB25" s="256" t="s">
        <v>494</v>
      </c>
      <c r="AC25" s="185" t="str">
        <f>IF(OR(AD25="Preventivo",AD25="Detectivo"),"Probabilidad",IF(AD25="Correctivo","Impacto",""))</f>
        <v>Probabilidad</v>
      </c>
      <c r="AD25" s="190" t="s">
        <v>14</v>
      </c>
      <c r="AE25" s="190" t="s">
        <v>8</v>
      </c>
      <c r="AF25" s="189" t="str">
        <f t="shared" si="1"/>
        <v>30%</v>
      </c>
      <c r="AG25" s="190" t="s">
        <v>19</v>
      </c>
      <c r="AH25" s="190" t="s">
        <v>21</v>
      </c>
      <c r="AI25" s="190" t="s">
        <v>118</v>
      </c>
      <c r="AJ25" s="182" t="s">
        <v>394</v>
      </c>
      <c r="AK25" s="188">
        <f>IFERROR(IF(AC25="Probabilidad",(T25-(+T25*AF25)),IF(AC25="Impacto",T25,"")),"")</f>
        <v>0.42</v>
      </c>
      <c r="AL25" s="228" t="str">
        <f t="shared" si="2"/>
        <v>Media</v>
      </c>
      <c r="AM25" s="189">
        <f t="shared" ref="AM25:AM30" si="7">+AK25</f>
        <v>0.42</v>
      </c>
      <c r="AN25" s="228" t="str">
        <f t="shared" si="4"/>
        <v>Menor</v>
      </c>
      <c r="AO25" s="189">
        <f t="shared" si="6"/>
        <v>0.4</v>
      </c>
      <c r="AP25" s="228" t="str">
        <f t="shared" ref="AP25:AP30" si="8">IFERROR(IF(OR(AND(AL25="Muy Baja",AN25="Leve"),AND(AL25="Muy Baja",AN25="Menor"),AND(AL25="Baja",AN25="Leve")),"Bajo",IF(OR(AND(AL25="Muy baja",AN25="Moderado"),AND(AL25="Baja",AN25="Menor"),AND(AL25="Baja",AN25="Moderado"),AND(AL25="Media",AN25="Leve"),AND(AL25="Media",AN25="Menor"),AND(AL25="Media",AN25="Moderado"),AND(AL25="Alta",AN25="Leve"),AND(AL25="Alta",AN25="Menor")),"Moderado",IF(OR(AND(AL25="Muy Baja",AN25="Mayor"),AND(AL25="Baja",AN25="Mayor"),AND(AL25="Media",AN25="Mayor"),AND(AL25="Alta",AN25="Moderado"),AND(AL25="Alta",AN25="Mayor"),AND(AL25="Muy Alta",AN25="Leve"),AND(AL25="Muy Alta",AN25="Menor"),AND(AL25="Muy Alta",AN25="Moderado"),AND(AL25="Muy Alta",AN25="Mayor")),"Alto",IF(OR(AND(AL25="Muy Baja",AN25="Catastrófico"),AND(AL25="Baja",AN25="Catastrófico"),AND(AL25="Media",AN25="Catastrófico"),AND(AL25="Alta",AN25="Catastrófico"),AND(AL25="Muy Alta",AN25="Catastrófico")),"Extremo","")))),"")</f>
        <v>Moderado</v>
      </c>
      <c r="AQ25" s="244" t="s">
        <v>133</v>
      </c>
      <c r="AR25" s="251" t="s">
        <v>495</v>
      </c>
      <c r="AS25" s="468" t="s">
        <v>496</v>
      </c>
      <c r="AT25" s="191">
        <v>45687</v>
      </c>
      <c r="AU25" s="191"/>
      <c r="AV25" s="191"/>
      <c r="AW25" s="182"/>
      <c r="AX25" s="182"/>
      <c r="AY25" s="191"/>
      <c r="AZ25" s="182"/>
      <c r="BA25" s="218"/>
      <c r="BB25" s="218"/>
      <c r="BC25" s="245"/>
      <c r="BD25" s="218"/>
      <c r="BE25" s="218"/>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row>
    <row r="26" spans="4:83" s="225" customFormat="1" ht="60" customHeight="1" x14ac:dyDescent="0.25">
      <c r="D26" s="480"/>
      <c r="E26" s="480"/>
      <c r="F26" s="480"/>
      <c r="G26" s="480"/>
      <c r="H26" s="270"/>
      <c r="I26" s="477"/>
      <c r="J26" s="477"/>
      <c r="K26" s="477"/>
      <c r="L26" s="182"/>
      <c r="M26" s="477"/>
      <c r="N26" s="477"/>
      <c r="O26" s="470"/>
      <c r="P26" s="470"/>
      <c r="Q26" s="492"/>
      <c r="R26" s="481"/>
      <c r="S26" s="491"/>
      <c r="T26" s="489"/>
      <c r="U26" s="482"/>
      <c r="V26" s="489"/>
      <c r="W26" s="490"/>
      <c r="X26" s="489"/>
      <c r="Y26" s="491"/>
      <c r="Z26" s="254">
        <v>2</v>
      </c>
      <c r="AA26" s="255" t="s">
        <v>497</v>
      </c>
      <c r="AB26" s="256" t="s">
        <v>498</v>
      </c>
      <c r="AC26" s="185" t="str">
        <f t="shared" ref="AC26:AC47" si="9">IF(OR(AD26="Preventivo",AD26="Detectivo"),"Probabilidad",IF(AD26="Correctivo","Impacto",""))</f>
        <v>Probabilidad</v>
      </c>
      <c r="AD26" s="190" t="s">
        <v>14</v>
      </c>
      <c r="AE26" s="190" t="s">
        <v>8</v>
      </c>
      <c r="AF26" s="189" t="str">
        <f t="shared" ref="AF26:AF30" si="10">IF(AND(AD26="Preventivo",AE26="Automático"),"50%",IF(AND(AD26="Preventivo",AE26="Manual"),"40%",IF(AND(AD26="Detectivo",AE26="Automático"),"40%",IF(AND(AD26="Detectivo",AE26="Manual"),"30%",IF(AND(AD26="Correctivo",AE26="Automático"),"35%",IF(AND(AD26="Correctivo",AE26="Manual"),"25%",""))))))</f>
        <v>30%</v>
      </c>
      <c r="AG26" s="190" t="s">
        <v>18</v>
      </c>
      <c r="AH26" s="190" t="s">
        <v>21</v>
      </c>
      <c r="AI26" s="190" t="s">
        <v>117</v>
      </c>
      <c r="AJ26" s="182" t="s">
        <v>394</v>
      </c>
      <c r="AK26" s="224">
        <f>IFERROR(IF(AND(AC25="Probabilidad",AC26="Probabilidad"),(AM25-(+AM25*AF26)),IF(AC26="Probabilidad",(U25-(+U25*AC26)),IF(AC26="Impacto",AM25,""))),"")</f>
        <v>0.29399999999999998</v>
      </c>
      <c r="AL26" s="228" t="str">
        <f t="shared" ref="AL26:AL30" si="11">IFERROR(IF(AK26="","",IF(AK26&lt;=0.2,"Muy Baja",IF(AK26&lt;=0.4,"Baja",IF(AK26&lt;=0.6,"Media",IF(AK26&lt;=0.8,"Alta","Muy Alta"))))),"")</f>
        <v>Baja</v>
      </c>
      <c r="AM26" s="189">
        <f t="shared" si="7"/>
        <v>0.29399999999999998</v>
      </c>
      <c r="AN26" s="228" t="str">
        <f t="shared" ref="AN26:AN30" si="12">IFERROR(IF(AO26="","",IF(AO26&lt;=0.2,"Leve",IF(AO26&lt;=0.4,"Menor",IF(AO26&lt;=0.6,"Moderado",IF(AO26&lt;=0.8,"Mayor","Catastrófico"))))),"")</f>
        <v>Leve</v>
      </c>
      <c r="AO26" s="189">
        <f t="shared" ref="AO26:AO30" si="13">IFERROR(IF(AC26="Impacto",(X26-(+X26*AF26)),IF(AC26="Probabilidad",X26,"")),"")</f>
        <v>0</v>
      </c>
      <c r="AP26" s="228" t="str">
        <f t="shared" si="8"/>
        <v>Bajo</v>
      </c>
      <c r="AQ26" s="244" t="s">
        <v>133</v>
      </c>
      <c r="AR26" s="251" t="s">
        <v>499</v>
      </c>
      <c r="AS26" s="468"/>
      <c r="AT26" s="191">
        <v>45687</v>
      </c>
      <c r="AU26" s="191"/>
      <c r="AV26" s="191"/>
      <c r="AW26" s="182"/>
      <c r="AX26" s="182"/>
      <c r="AY26" s="191"/>
      <c r="AZ26" s="182"/>
      <c r="BA26" s="182"/>
      <c r="BB26" s="182"/>
      <c r="BC26" s="191"/>
      <c r="BD26" s="182"/>
      <c r="BE26" s="182"/>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row>
    <row r="27" spans="4:83" s="225" customFormat="1" ht="60" customHeight="1" x14ac:dyDescent="0.25">
      <c r="D27" s="474"/>
      <c r="E27" s="474"/>
      <c r="F27" s="474"/>
      <c r="G27" s="474"/>
      <c r="H27" s="260"/>
      <c r="I27" s="455"/>
      <c r="J27" s="455"/>
      <c r="K27" s="455"/>
      <c r="L27" s="182"/>
      <c r="M27" s="455"/>
      <c r="N27" s="455"/>
      <c r="O27" s="451"/>
      <c r="P27" s="451"/>
      <c r="Q27" s="459"/>
      <c r="R27" s="481"/>
      <c r="S27" s="449"/>
      <c r="T27" s="461"/>
      <c r="U27" s="482"/>
      <c r="V27" s="461"/>
      <c r="W27" s="463"/>
      <c r="X27" s="461"/>
      <c r="Y27" s="449"/>
      <c r="Z27" s="254">
        <v>3</v>
      </c>
      <c r="AA27" s="257" t="s">
        <v>500</v>
      </c>
      <c r="AB27" s="258" t="s">
        <v>501</v>
      </c>
      <c r="AC27" s="185" t="str">
        <f t="shared" si="9"/>
        <v>Impacto</v>
      </c>
      <c r="AD27" s="190" t="s">
        <v>15</v>
      </c>
      <c r="AE27" s="190" t="s">
        <v>8</v>
      </c>
      <c r="AF27" s="189" t="str">
        <f t="shared" si="10"/>
        <v>25%</v>
      </c>
      <c r="AG27" s="190" t="s">
        <v>19</v>
      </c>
      <c r="AH27" s="190" t="s">
        <v>21</v>
      </c>
      <c r="AI27" s="190" t="s">
        <v>117</v>
      </c>
      <c r="AJ27" s="182" t="s">
        <v>394</v>
      </c>
      <c r="AK27" s="224">
        <f>IFERROR(IF(AND(AC26="Probabilidad",AC27="Probabilidad"),(AM26-(+AM26*AF27)),IF(AC27="Probabilidad",(U26-(+U26*AC27)),IF(AC27="Impacto",AM26,""))),"")</f>
        <v>0.29399999999999998</v>
      </c>
      <c r="AL27" s="228" t="str">
        <f t="shared" si="11"/>
        <v>Baja</v>
      </c>
      <c r="AM27" s="189">
        <f t="shared" si="7"/>
        <v>0.29399999999999998</v>
      </c>
      <c r="AN27" s="228" t="str">
        <f t="shared" si="12"/>
        <v>Leve</v>
      </c>
      <c r="AO27" s="189">
        <f t="shared" si="13"/>
        <v>0</v>
      </c>
      <c r="AP27" s="228" t="str">
        <f t="shared" si="8"/>
        <v>Bajo</v>
      </c>
      <c r="AQ27" s="244" t="s">
        <v>133</v>
      </c>
      <c r="AR27" s="251" t="s">
        <v>502</v>
      </c>
      <c r="AS27" s="468"/>
      <c r="AT27" s="191">
        <v>45687</v>
      </c>
      <c r="AU27" s="191"/>
      <c r="AV27" s="191"/>
      <c r="AW27" s="182"/>
      <c r="AX27" s="182"/>
      <c r="AY27" s="191"/>
      <c r="AZ27" s="182"/>
      <c r="BA27" s="182"/>
      <c r="BB27" s="182"/>
      <c r="BC27" s="191"/>
      <c r="BD27" s="182"/>
      <c r="BE27" s="182"/>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row>
    <row r="28" spans="4:83" s="225" customFormat="1" ht="60" customHeight="1" x14ac:dyDescent="0.25">
      <c r="D28" s="473" t="s">
        <v>525</v>
      </c>
      <c r="E28" s="473" t="s">
        <v>324</v>
      </c>
      <c r="F28" s="473" t="s">
        <v>324</v>
      </c>
      <c r="G28" s="473" t="s">
        <v>131</v>
      </c>
      <c r="H28" s="269" t="s">
        <v>311</v>
      </c>
      <c r="I28" s="454" t="s">
        <v>503</v>
      </c>
      <c r="J28" s="478" t="s">
        <v>504</v>
      </c>
      <c r="K28" s="454" t="s">
        <v>503</v>
      </c>
      <c r="L28" s="182"/>
      <c r="M28" s="454" t="s">
        <v>504</v>
      </c>
      <c r="N28" s="479" t="s">
        <v>505</v>
      </c>
      <c r="O28" s="450" t="s">
        <v>121</v>
      </c>
      <c r="P28" s="450" t="s">
        <v>231</v>
      </c>
      <c r="Q28" s="450" t="s">
        <v>233</v>
      </c>
      <c r="R28" s="481">
        <v>800</v>
      </c>
      <c r="S28" s="448" t="str">
        <f t="shared" ref="S28:S30" si="14">IF(R28&lt;=0,"",IF(R28&lt;=2,"Muy Baja",IF(R28&lt;=24,"Baja",IF(R28&lt;=500,"Media",IF(R28&lt;=5000,"Alta","Muy Alta")))))</f>
        <v>Alta</v>
      </c>
      <c r="T28" s="460">
        <f t="shared" ref="T28:T30" si="15">IF(S28="","",IF(S28="Muy Baja",0.2,IF(S28="Baja",0.4,IF(S28="Media",0.6,IF(S28="Alta",0.8,IF(S28="Muy Alta",1,))))))</f>
        <v>0.8</v>
      </c>
      <c r="U28" s="482" t="s">
        <v>150</v>
      </c>
      <c r="V28" s="460" t="str">
        <f>IF(NOT(ISERROR(MATCH(U28,'[2]Tabla Impacto'!$B$221:$B$223,0))),'[2]Tabla Impacto'!$F$223&amp;"Por favor no seleccionar los criterios de impacto(Afectación Económica o presupuestal y Pérdida Reputacional)",U28)</f>
        <v xml:space="preserve">     El riesgo afecta la imagen de la entidad con algunos usuarios de relevancia frente al logro de los objetivos</v>
      </c>
      <c r="W28" s="462" t="str">
        <f>IF(OR(V28='[3]Tabla Impacto'!$C$11,V28='[3]Tabla Impacto'!$D$11),"Leve",IF(OR(V28='[3]Tabla Impacto'!$C$12,V28='[3]Tabla Impacto'!$D$12),"Menor",IF(OR(V28='[3]Tabla Impacto'!$C$13,V28='[3]Tabla Impacto'!$D$13),"Moderado",IF(OR(V28='[3]Tabla Impacto'!$C$14,V28='[3]Tabla Impacto'!$D$14),"Mayor",IF(OR(V28='[3]Tabla Impacto'!$C$15,V28='[3]Tabla Impacto'!$D$15),"Catastrófico","")))))</f>
        <v>Moderado</v>
      </c>
      <c r="X28" s="460">
        <f t="shared" ref="X28:X30" si="16">IF(W28="","",IF(W28="Leve",0.2,IF(W28="Menor",0.4,IF(W28="Moderado",0.6,IF(W28="Mayor",0.8,IF(W28="Catastrófico",1,))))))</f>
        <v>0.6</v>
      </c>
      <c r="Y28" s="448" t="str">
        <f t="shared" ref="Y28:Y30" si="17">IF(OR(AND(S28="Muy Baja",W28="Leve"),AND(S28="Muy Baja",W28="Menor"),AND(S28="Baja",W28="Leve")),"Bajo",IF(OR(AND(S28="Muy baja",W28="Moderado"),AND(S28="Baja",W28="Menor"),AND(S28="Baja",W28="Moderado"),AND(S28="Media",W28="Leve"),AND(S28="Media",W28="Menor"),AND(S28="Media",W28="Moderado"),AND(S28="Alta",W28="Leve"),AND(S28="Alta",W28="Menor")),"Moderado",IF(OR(AND(S28="Muy Baja",W28="Mayor"),AND(S28="Baja",W28="Mayor"),AND(S28="Media",W28="Mayor"),AND(S28="Alta",W28="Moderado"),AND(S28="Alta",W28="Mayor"),AND(S28="Muy Alta",W28="Leve"),AND(S28="Muy Alta",W28="Menor"),AND(S28="Muy Alta",W28="Moderado"),AND(S28="Muy Alta",W28="Mayor")),"Alto",IF(OR(AND(S28="Muy Baja",W28="Catastrófico"),AND(S28="Baja",W28="Catastrófico"),AND(S28="Media",W28="Catastrófico"),AND(S28="Alta",W28="Catastrófico"),AND(S28="Muy Alta",W28="Catastrófico")),"Extremo",""))))</f>
        <v>Alto</v>
      </c>
      <c r="Z28" s="254">
        <v>1</v>
      </c>
      <c r="AA28" s="255" t="s">
        <v>506</v>
      </c>
      <c r="AB28" s="256" t="s">
        <v>507</v>
      </c>
      <c r="AC28" s="185" t="str">
        <f t="shared" si="9"/>
        <v>Probabilidad</v>
      </c>
      <c r="AD28" s="190" t="s">
        <v>13</v>
      </c>
      <c r="AE28" s="190" t="s">
        <v>8</v>
      </c>
      <c r="AF28" s="189" t="str">
        <f t="shared" si="10"/>
        <v>40%</v>
      </c>
      <c r="AG28" s="190" t="s">
        <v>18</v>
      </c>
      <c r="AH28" s="190" t="s">
        <v>21</v>
      </c>
      <c r="AI28" s="190" t="s">
        <v>117</v>
      </c>
      <c r="AJ28" s="182" t="s">
        <v>394</v>
      </c>
      <c r="AK28" s="188">
        <f>IFERROR(IF(AC28="Probabilidad",(T28-(+T28*AF28)),IF(AC28="Impacto",T28,"")),"")</f>
        <v>0.48</v>
      </c>
      <c r="AL28" s="228" t="str">
        <f t="shared" si="11"/>
        <v>Media</v>
      </c>
      <c r="AM28" s="189">
        <f t="shared" si="7"/>
        <v>0.48</v>
      </c>
      <c r="AN28" s="228" t="str">
        <f t="shared" si="12"/>
        <v>Moderado</v>
      </c>
      <c r="AO28" s="189">
        <f t="shared" si="13"/>
        <v>0.6</v>
      </c>
      <c r="AP28" s="228" t="str">
        <f t="shared" si="8"/>
        <v>Moderado</v>
      </c>
      <c r="AQ28" s="244" t="s">
        <v>133</v>
      </c>
      <c r="AR28" s="251" t="s">
        <v>508</v>
      </c>
      <c r="AS28" s="251" t="s">
        <v>496</v>
      </c>
      <c r="AT28" s="191">
        <v>45687</v>
      </c>
      <c r="AU28" s="191"/>
      <c r="AV28" s="191"/>
      <c r="AW28" s="182"/>
      <c r="AX28" s="182"/>
      <c r="AY28" s="191"/>
      <c r="AZ28" s="182"/>
      <c r="BA28" s="182"/>
      <c r="BB28" s="182"/>
      <c r="BC28" s="191"/>
      <c r="BD28" s="182"/>
      <c r="BE28" s="182"/>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row>
    <row r="29" spans="4:83" s="225" customFormat="1" ht="105" customHeight="1" x14ac:dyDescent="0.25">
      <c r="D29" s="474"/>
      <c r="E29" s="474"/>
      <c r="F29" s="474"/>
      <c r="G29" s="474"/>
      <c r="H29" s="260"/>
      <c r="I29" s="455"/>
      <c r="J29" s="478"/>
      <c r="K29" s="455"/>
      <c r="L29" s="182"/>
      <c r="M29" s="455"/>
      <c r="N29" s="479"/>
      <c r="O29" s="451"/>
      <c r="P29" s="451"/>
      <c r="Q29" s="451"/>
      <c r="R29" s="481"/>
      <c r="S29" s="449"/>
      <c r="T29" s="461"/>
      <c r="U29" s="482"/>
      <c r="V29" s="461"/>
      <c r="W29" s="463"/>
      <c r="X29" s="461"/>
      <c r="Y29" s="449"/>
      <c r="Z29" s="254">
        <v>2</v>
      </c>
      <c r="AA29" s="255" t="s">
        <v>509</v>
      </c>
      <c r="AB29" s="256" t="s">
        <v>510</v>
      </c>
      <c r="AC29" s="185" t="str">
        <f t="shared" si="9"/>
        <v>Probabilidad</v>
      </c>
      <c r="AD29" s="190" t="s">
        <v>14</v>
      </c>
      <c r="AE29" s="190" t="s">
        <v>8</v>
      </c>
      <c r="AF29" s="189" t="str">
        <f t="shared" si="10"/>
        <v>30%</v>
      </c>
      <c r="AG29" s="190" t="s">
        <v>18</v>
      </c>
      <c r="AH29" s="190" t="s">
        <v>21</v>
      </c>
      <c r="AI29" s="190" t="s">
        <v>118</v>
      </c>
      <c r="AJ29" s="182" t="s">
        <v>394</v>
      </c>
      <c r="AK29" s="224">
        <f>IFERROR(IF(AND(AC28="Probabilidad",AC29="Probabilidad"),(AM28-(+AM28*AF29)),IF(AC29="Probabilidad",(U28-(+U28*AC29)),IF(AC29="Impacto",AM28,""))),"")</f>
        <v>0.33599999999999997</v>
      </c>
      <c r="AL29" s="228" t="str">
        <f t="shared" si="11"/>
        <v>Baja</v>
      </c>
      <c r="AM29" s="189">
        <f t="shared" si="7"/>
        <v>0.33599999999999997</v>
      </c>
      <c r="AN29" s="228" t="str">
        <f t="shared" si="12"/>
        <v>Leve</v>
      </c>
      <c r="AO29" s="189">
        <f t="shared" si="13"/>
        <v>0</v>
      </c>
      <c r="AP29" s="228" t="str">
        <f t="shared" si="8"/>
        <v>Bajo</v>
      </c>
      <c r="AQ29" s="244" t="s">
        <v>133</v>
      </c>
      <c r="AR29" s="251" t="s">
        <v>511</v>
      </c>
      <c r="AS29" s="251" t="s">
        <v>496</v>
      </c>
      <c r="AT29" s="191">
        <v>45687</v>
      </c>
      <c r="AU29" s="191"/>
      <c r="AV29" s="191"/>
      <c r="AW29" s="182"/>
      <c r="AX29" s="182"/>
      <c r="AY29" s="191"/>
      <c r="AZ29" s="182"/>
      <c r="BA29" s="182"/>
      <c r="BB29" s="182"/>
      <c r="BC29" s="191"/>
      <c r="BD29" s="182"/>
      <c r="BE29" s="182"/>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row>
    <row r="30" spans="4:83" s="225" customFormat="1" ht="103.5" customHeight="1" x14ac:dyDescent="0.25">
      <c r="D30" s="260" t="s">
        <v>526</v>
      </c>
      <c r="E30" s="212" t="s">
        <v>324</v>
      </c>
      <c r="F30" s="212" t="s">
        <v>324</v>
      </c>
      <c r="G30" s="212" t="s">
        <v>131</v>
      </c>
      <c r="H30" s="212" t="s">
        <v>311</v>
      </c>
      <c r="I30" s="251" t="s">
        <v>512</v>
      </c>
      <c r="J30" s="251" t="s">
        <v>513</v>
      </c>
      <c r="K30" s="251" t="s">
        <v>512</v>
      </c>
      <c r="L30" s="182"/>
      <c r="M30" s="251" t="s">
        <v>513</v>
      </c>
      <c r="N30" s="259" t="s">
        <v>514</v>
      </c>
      <c r="O30" s="210" t="s">
        <v>355</v>
      </c>
      <c r="P30" s="182" t="s">
        <v>233</v>
      </c>
      <c r="Q30" s="182" t="s">
        <v>233</v>
      </c>
      <c r="R30" s="252">
        <v>1000</v>
      </c>
      <c r="S30" s="261" t="str">
        <f t="shared" si="14"/>
        <v>Alta</v>
      </c>
      <c r="T30" s="242">
        <f t="shared" si="15"/>
        <v>0.8</v>
      </c>
      <c r="U30" s="253" t="s">
        <v>150</v>
      </c>
      <c r="V30" s="242" t="str">
        <f>IF(NOT(ISERROR(MATCH(U30,'[2]Tabla Impacto'!$B$221:$B$223,0))),'[2]Tabla Impacto'!$F$223&amp;"Por favor no seleccionar los criterios de impacto(Afectación Económica o presupuestal y Pérdida Reputacional)",U30)</f>
        <v xml:space="preserve">     El riesgo afecta la imagen de la entidad con algunos usuarios de relevancia frente al logro de los objetivos</v>
      </c>
      <c r="W30" s="234" t="str">
        <f>IF(OR(V30='[3]Tabla Impacto'!$C$11,V30='[3]Tabla Impacto'!$D$11),"Leve",IF(OR(V30='[3]Tabla Impacto'!$C$12,V30='[3]Tabla Impacto'!$D$12),"Menor",IF(OR(V30='[3]Tabla Impacto'!$C$13,V30='[3]Tabla Impacto'!$D$13),"Moderado",IF(OR(V30='[3]Tabla Impacto'!$C$14,V30='[3]Tabla Impacto'!$D$14),"Mayor",IF(OR(V30='[3]Tabla Impacto'!$C$15,V30='[3]Tabla Impacto'!$D$15),"Catastrófico","")))))</f>
        <v>Moderado</v>
      </c>
      <c r="X30" s="189">
        <f t="shared" si="16"/>
        <v>0.6</v>
      </c>
      <c r="Y30" s="193" t="str">
        <f t="shared" si="17"/>
        <v>Alto</v>
      </c>
      <c r="Z30" s="254">
        <v>1</v>
      </c>
      <c r="AA30" s="255" t="s">
        <v>515</v>
      </c>
      <c r="AB30" s="256" t="s">
        <v>516</v>
      </c>
      <c r="AC30" s="185" t="str">
        <f t="shared" si="9"/>
        <v>Probabilidad</v>
      </c>
      <c r="AD30" s="190" t="s">
        <v>13</v>
      </c>
      <c r="AE30" s="190" t="s">
        <v>8</v>
      </c>
      <c r="AF30" s="189" t="str">
        <f t="shared" si="10"/>
        <v>40%</v>
      </c>
      <c r="AG30" s="190" t="s">
        <v>19</v>
      </c>
      <c r="AH30" s="190" t="s">
        <v>21</v>
      </c>
      <c r="AI30" s="190" t="s">
        <v>118</v>
      </c>
      <c r="AJ30" s="182" t="s">
        <v>394</v>
      </c>
      <c r="AK30" s="188">
        <f>IFERROR(IF(AC30="Probabilidad",(T30-(+T30*AF30)),IF(AC30="Impacto",T30,"")),"")</f>
        <v>0.48</v>
      </c>
      <c r="AL30" s="228" t="str">
        <f t="shared" si="11"/>
        <v>Media</v>
      </c>
      <c r="AM30" s="189">
        <f t="shared" si="7"/>
        <v>0.48</v>
      </c>
      <c r="AN30" s="228" t="str">
        <f t="shared" si="12"/>
        <v>Moderado</v>
      </c>
      <c r="AO30" s="189">
        <f t="shared" si="13"/>
        <v>0.6</v>
      </c>
      <c r="AP30" s="228" t="str">
        <f t="shared" si="8"/>
        <v>Moderado</v>
      </c>
      <c r="AQ30" s="244" t="s">
        <v>133</v>
      </c>
      <c r="AR30" s="251" t="s">
        <v>517</v>
      </c>
      <c r="AS30" s="251" t="s">
        <v>496</v>
      </c>
      <c r="AT30" s="191">
        <v>45687</v>
      </c>
      <c r="AU30" s="191"/>
      <c r="AV30" s="191"/>
      <c r="AW30" s="182"/>
      <c r="AX30" s="182"/>
      <c r="AY30" s="191"/>
      <c r="AZ30" s="182"/>
      <c r="BA30" s="182"/>
      <c r="BB30" s="182"/>
      <c r="BC30" s="191"/>
      <c r="BD30" s="182"/>
      <c r="BE30" s="182"/>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row>
    <row r="31" spans="4:83" s="225" customFormat="1" ht="264.75" customHeight="1" x14ac:dyDescent="0.25">
      <c r="D31" s="473" t="s">
        <v>527</v>
      </c>
      <c r="E31" s="473" t="s">
        <v>215</v>
      </c>
      <c r="F31" s="473" t="s">
        <v>131</v>
      </c>
      <c r="G31" s="473" t="s">
        <v>311</v>
      </c>
      <c r="H31" s="183" t="s">
        <v>223</v>
      </c>
      <c r="I31" s="182" t="s">
        <v>463</v>
      </c>
      <c r="J31" s="182" t="s">
        <v>464</v>
      </c>
      <c r="K31" s="236"/>
      <c r="L31" s="182"/>
      <c r="M31" s="236"/>
      <c r="N31" s="456" t="s">
        <v>465</v>
      </c>
      <c r="O31" s="450" t="s">
        <v>355</v>
      </c>
      <c r="P31" s="182" t="s">
        <v>233</v>
      </c>
      <c r="Q31" s="182" t="s">
        <v>233</v>
      </c>
      <c r="R31" s="182">
        <v>2</v>
      </c>
      <c r="S31" s="261" t="str">
        <f t="shared" ref="S31:S35" si="18">IF(R31&lt;=0,"",IF(R31&lt;=2,"Muy Baja",IF(R31&lt;=24,"Baja",IF(R31&lt;=500,"Media",IF(R31&lt;=5000,"Alta","Muy Alta")))))</f>
        <v>Muy Baja</v>
      </c>
      <c r="T31" s="242">
        <f t="shared" ref="T31:T35" si="19">IF(S31="","",IF(S31="Muy Baja",0.2,IF(S31="Baja",0.4,IF(S31="Media",0.6,IF(S31="Alta",0.8,IF(S31="Muy Alta",1,))))))</f>
        <v>0.2</v>
      </c>
      <c r="U31" s="194" t="s">
        <v>145</v>
      </c>
      <c r="V31" s="189" t="str">
        <f>IF(NOT(ISERROR(MATCH(U31,'[4]Tabla Impacto'!$B$221:$B$223,0))),'[4]Tabla Impacto'!$F$223&amp;"Por favor no seleccionar los criterios de impacto(Afectación Económica o presupuestal y Pérdida Reputacional)",U31)</f>
        <v xml:space="preserve">     Entre 10 y 50 SMLMV </v>
      </c>
      <c r="W31" s="234" t="str">
        <f>IF(OR(V31='[3]Tabla Impacto'!$C$11,V31='[3]Tabla Impacto'!$D$11),"Leve",IF(OR(V31='[3]Tabla Impacto'!$C$12,V31='[3]Tabla Impacto'!$D$12),"Menor",IF(OR(V31='[3]Tabla Impacto'!$C$13,V31='[3]Tabla Impacto'!$D$13),"Moderado",IF(OR(V31='[3]Tabla Impacto'!$C$14,V31='[3]Tabla Impacto'!$D$14),"Mayor",IF(OR(V31='[3]Tabla Impacto'!$C$15,V31='[3]Tabla Impacto'!$D$15),"Catastrófico","")))))</f>
        <v>Menor</v>
      </c>
      <c r="X31" s="189">
        <f t="shared" ref="X31:X34" si="20">IF(W31="","",IF(W31="Leve",0.2,IF(W31="Menor",0.4,IF(W31="Moderado",0.6,IF(W31="Mayor",0.8,IF(W31="Catastrófico",1,))))))</f>
        <v>0.4</v>
      </c>
      <c r="Y31" s="193" t="str">
        <f t="shared" ref="Y31:Y34" si="21">IF(OR(AND(S31="Muy Baja",W31="Leve"),AND(S31="Muy Baja",W31="Menor"),AND(S31="Baja",W31="Leve")),"Bajo",IF(OR(AND(S31="Muy baja",W31="Moderado"),AND(S31="Baja",W31="Menor"),AND(S31="Baja",W31="Moderado"),AND(S31="Media",W31="Leve"),AND(S31="Media",W31="Menor"),AND(S31="Media",W31="Moderado"),AND(S31="Alta",W31="Leve"),AND(S31="Alta",W31="Menor")),"Moderado",IF(OR(AND(S31="Muy Baja",W31="Mayor"),AND(S31="Baja",W31="Mayor"),AND(S31="Media",W31="Mayor"),AND(S31="Alta",W31="Moderado"),AND(S31="Alta",W31="Mayor"),AND(S31="Muy Alta",W31="Leve"),AND(S31="Muy Alta",W31="Menor"),AND(S31="Muy Alta",W31="Moderado"),AND(S31="Muy Alta",W31="Mayor")),"Alto",IF(OR(AND(S31="Muy Baja",W31="Catastrófico"),AND(S31="Baja",W31="Catastrófico"),AND(S31="Media",W31="Catastrófico"),AND(S31="Alta",W31="Catastrófico"),AND(S31="Muy Alta",W31="Catastrófico")),"Extremo",""))))</f>
        <v>Bajo</v>
      </c>
      <c r="Z31" s="183">
        <v>1</v>
      </c>
      <c r="AA31" s="158" t="s">
        <v>466</v>
      </c>
      <c r="AB31" s="158" t="s">
        <v>467</v>
      </c>
      <c r="AC31" s="185" t="str">
        <f t="shared" si="9"/>
        <v>Probabilidad</v>
      </c>
      <c r="AD31" s="190" t="s">
        <v>13</v>
      </c>
      <c r="AE31" s="190" t="s">
        <v>8</v>
      </c>
      <c r="AF31" s="189" t="str">
        <f>IF(AND(AD31="Preventivo",AE31="Automático"),"50%",IF(AND(AD31="Preventivo",AE31="Manual"),"40%",IF(AND(AD31="Detectivo",AE31="Automático"),"40%",IF(AND(AD31="Detectivo",AE31="Manual"),"30%",IF(AND(AD31="Correctivo",AE31="Automático"),"35%",IF(AND(AD31="Correctivo",AE31="Manual"),"25%",""))))))</f>
        <v>40%</v>
      </c>
      <c r="AG31" s="190" t="s">
        <v>18</v>
      </c>
      <c r="AH31" s="190" t="s">
        <v>21</v>
      </c>
      <c r="AI31" s="190" t="s">
        <v>118</v>
      </c>
      <c r="AJ31" s="182" t="s">
        <v>468</v>
      </c>
      <c r="AK31" s="188">
        <f>IFERROR(IF(AC31="Probabilidad",(T31-(+T31*AF31)),IF(AC31="Impacto",T31,"")),"")</f>
        <v>0.12</v>
      </c>
      <c r="AL31" s="228" t="str">
        <f t="shared" ref="AL31:AL34" si="22">IFERROR(IF(AK31="","",IF(AK31&lt;=0.2,"Muy Baja",IF(AK31&lt;=0.4,"Baja",IF(AK31&lt;=0.6,"Media",IF(AK31&lt;=0.8,"Alta","Muy Alta"))))),"")</f>
        <v>Muy Baja</v>
      </c>
      <c r="AM31" s="189">
        <f t="shared" ref="AM31:AM34" si="23">+AK31</f>
        <v>0.12</v>
      </c>
      <c r="AN31" s="228" t="str">
        <f t="shared" ref="AN31:AN34" si="24">IFERROR(IF(AO31="","",IF(AO31&lt;=0.2,"Leve",IF(AO31&lt;=0.4,"Menor",IF(AO31&lt;=0.6,"Moderado",IF(AO31&lt;=0.8,"Mayor","Catastrófico"))))),"")</f>
        <v>Menor</v>
      </c>
      <c r="AO31" s="189">
        <f t="shared" ref="AO31:AO34" si="25">IFERROR(IF(AC31="Impacto",(X31-(+X31*AF31)),IF(AC31="Probabilidad",X31,"")),"")</f>
        <v>0.4</v>
      </c>
      <c r="AP31" s="228" t="str">
        <f t="shared" ref="AP31:AP34" si="26">IFERROR(IF(OR(AND(AL31="Muy Baja",AN31="Leve"),AND(AL31="Muy Baja",AN31="Menor"),AND(AL31="Baja",AN31="Leve")),"Bajo",IF(OR(AND(AL31="Muy baja",AN31="Moderado"),AND(AL31="Baja",AN31="Menor"),AND(AL31="Baja",AN31="Moderado"),AND(AL31="Media",AN31="Leve"),AND(AL31="Media",AN31="Menor"),AND(AL31="Media",AN31="Moderado"),AND(AL31="Alta",AN31="Leve"),AND(AL31="Alta",AN31="Menor")),"Moderado",IF(OR(AND(AL31="Muy Baja",AN31="Mayor"),AND(AL31="Baja",AN31="Mayor"),AND(AL31="Media",AN31="Mayor"),AND(AL31="Alta",AN31="Moderado"),AND(AL31="Alta",AN31="Mayor"),AND(AL31="Muy Alta",AN31="Leve"),AND(AL31="Muy Alta",AN31="Menor"),AND(AL31="Muy Alta",AN31="Moderado"),AND(AL31="Muy Alta",AN31="Mayor")),"Alto",IF(OR(AND(AL31="Muy Baja",AN31="Catastrófico"),AND(AL31="Baja",AN31="Catastrófico"),AND(AL31="Media",AN31="Catastrófico"),AND(AL31="Alta",AN31="Catastrófico"),AND(AL31="Muy Alta",AN31="Catastrófico")),"Extremo","")))),"")</f>
        <v>Bajo</v>
      </c>
      <c r="AQ31" s="244" t="s">
        <v>133</v>
      </c>
      <c r="AR31" s="182" t="s">
        <v>469</v>
      </c>
      <c r="AS31" s="182" t="s">
        <v>470</v>
      </c>
      <c r="AT31" s="191">
        <v>45687</v>
      </c>
      <c r="AU31" s="191"/>
      <c r="AV31" s="191"/>
      <c r="AW31" s="182"/>
      <c r="AX31" s="182"/>
      <c r="AY31" s="191"/>
      <c r="AZ31" s="182"/>
      <c r="BA31" s="182"/>
      <c r="BB31" s="182"/>
      <c r="BC31" s="191"/>
      <c r="BD31" s="182"/>
      <c r="BE31" s="182"/>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row>
    <row r="32" spans="4:83" s="225" customFormat="1" ht="264.75" customHeight="1" x14ac:dyDescent="0.25">
      <c r="D32" s="480"/>
      <c r="E32" s="480"/>
      <c r="F32" s="480"/>
      <c r="G32" s="480"/>
      <c r="H32" s="183" t="s">
        <v>225</v>
      </c>
      <c r="I32" s="182" t="s">
        <v>471</v>
      </c>
      <c r="J32" s="182" t="s">
        <v>472</v>
      </c>
      <c r="K32" s="236"/>
      <c r="L32" s="182"/>
      <c r="M32" s="236"/>
      <c r="N32" s="469"/>
      <c r="O32" s="470"/>
      <c r="P32" s="182" t="s">
        <v>233</v>
      </c>
      <c r="Q32" s="182" t="s">
        <v>233</v>
      </c>
      <c r="R32" s="182">
        <v>30</v>
      </c>
      <c r="S32" s="261" t="str">
        <f t="shared" si="18"/>
        <v>Media</v>
      </c>
      <c r="T32" s="242">
        <f t="shared" si="19"/>
        <v>0.6</v>
      </c>
      <c r="U32" s="194" t="s">
        <v>145</v>
      </c>
      <c r="V32" s="189" t="str">
        <f>IF(NOT(ISERROR(MATCH(U32,'[4]Tabla Impacto'!$B$221:$B$223,0))),'[4]Tabla Impacto'!$F$223&amp;"Por favor no seleccionar los criterios de impacto(Afectación Económica o presupuestal y Pérdida Reputacional)",U32)</f>
        <v xml:space="preserve">     Entre 10 y 50 SMLMV </v>
      </c>
      <c r="W32" s="234" t="str">
        <f>IF(OR(V32='[3]Tabla Impacto'!$C$11,V32='[3]Tabla Impacto'!$D$11),"Leve",IF(OR(V32='[3]Tabla Impacto'!$C$12,V32='[3]Tabla Impacto'!$D$12),"Menor",IF(OR(V32='[3]Tabla Impacto'!$C$13,V32='[3]Tabla Impacto'!$D$13),"Moderado",IF(OR(V32='[3]Tabla Impacto'!$C$14,V32='[3]Tabla Impacto'!$D$14),"Mayor",IF(OR(V32='[3]Tabla Impacto'!$C$15,V32='[3]Tabla Impacto'!$D$15),"Catastrófico","")))))</f>
        <v>Menor</v>
      </c>
      <c r="X32" s="189">
        <f t="shared" si="20"/>
        <v>0.4</v>
      </c>
      <c r="Y32" s="193" t="str">
        <f t="shared" si="21"/>
        <v>Moderado</v>
      </c>
      <c r="Z32" s="183">
        <v>2</v>
      </c>
      <c r="AA32" s="158" t="s">
        <v>473</v>
      </c>
      <c r="AB32" s="158" t="s">
        <v>474</v>
      </c>
      <c r="AC32" s="185" t="str">
        <f t="shared" si="9"/>
        <v>Probabilidad</v>
      </c>
      <c r="AD32" s="190" t="s">
        <v>13</v>
      </c>
      <c r="AE32" s="190" t="s">
        <v>8</v>
      </c>
      <c r="AF32" s="189" t="str">
        <f t="shared" ref="AF32:AF41" si="27">IF(AND(AD32="Preventivo",AE32="Automático"),"50%",IF(AND(AD32="Preventivo",AE32="Manual"),"40%",IF(AND(AD32="Detectivo",AE32="Automático"),"40%",IF(AND(AD32="Detectivo",AE32="Manual"),"30%",IF(AND(AD32="Correctivo",AE32="Automático"),"35%",IF(AND(AD32="Correctivo",AE32="Manual"),"25%",""))))))</f>
        <v>40%</v>
      </c>
      <c r="AG32" s="190" t="s">
        <v>19</v>
      </c>
      <c r="AH32" s="190" t="s">
        <v>22</v>
      </c>
      <c r="AI32" s="190" t="s">
        <v>117</v>
      </c>
      <c r="AJ32" s="182" t="s">
        <v>475</v>
      </c>
      <c r="AK32" s="224">
        <f>IFERROR(IF(AND(AC31="Probabilidad",AC32="Probabilidad"),(AM31-(+AM31*AF32)),IF(AC32="Probabilidad",(U31-(+U31*AC32)),IF(AC32="Impacto",AM31,""))),"")</f>
        <v>7.1999999999999995E-2</v>
      </c>
      <c r="AL32" s="228" t="str">
        <f t="shared" si="22"/>
        <v>Muy Baja</v>
      </c>
      <c r="AM32" s="189">
        <f t="shared" si="23"/>
        <v>7.1999999999999995E-2</v>
      </c>
      <c r="AN32" s="228" t="str">
        <f t="shared" si="24"/>
        <v>Menor</v>
      </c>
      <c r="AO32" s="189">
        <f t="shared" si="25"/>
        <v>0.4</v>
      </c>
      <c r="AP32" s="228" t="str">
        <f t="shared" si="26"/>
        <v>Bajo</v>
      </c>
      <c r="AQ32" s="244" t="s">
        <v>133</v>
      </c>
      <c r="AR32" s="182" t="s">
        <v>476</v>
      </c>
      <c r="AS32" s="182" t="s">
        <v>470</v>
      </c>
      <c r="AT32" s="191">
        <v>45687</v>
      </c>
      <c r="AU32" s="191"/>
      <c r="AV32" s="191"/>
      <c r="AW32" s="182"/>
      <c r="AX32" s="182"/>
      <c r="AY32" s="191"/>
      <c r="AZ32" s="182"/>
      <c r="BA32" s="182"/>
      <c r="BB32" s="182"/>
      <c r="BC32" s="191"/>
      <c r="BD32" s="182"/>
      <c r="BE32" s="182"/>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row>
    <row r="33" spans="4:83" s="225" customFormat="1" ht="264.75" customHeight="1" x14ac:dyDescent="0.25">
      <c r="D33" s="480"/>
      <c r="E33" s="480"/>
      <c r="F33" s="480"/>
      <c r="G33" s="480"/>
      <c r="H33" s="183" t="s">
        <v>216</v>
      </c>
      <c r="I33" s="182" t="s">
        <v>477</v>
      </c>
      <c r="J33" s="182" t="s">
        <v>478</v>
      </c>
      <c r="K33" s="236"/>
      <c r="L33" s="182"/>
      <c r="M33" s="236"/>
      <c r="N33" s="469"/>
      <c r="O33" s="470"/>
      <c r="P33" s="182" t="s">
        <v>233</v>
      </c>
      <c r="Q33" s="182" t="s">
        <v>233</v>
      </c>
      <c r="R33" s="182">
        <v>6</v>
      </c>
      <c r="S33" s="261" t="str">
        <f t="shared" si="18"/>
        <v>Baja</v>
      </c>
      <c r="T33" s="242">
        <f t="shared" si="19"/>
        <v>0.4</v>
      </c>
      <c r="U33" s="194" t="s">
        <v>145</v>
      </c>
      <c r="V33" s="189" t="str">
        <f>IF(NOT(ISERROR(MATCH(U33,'[4]Tabla Impacto'!$B$221:$B$223,0))),'[4]Tabla Impacto'!$F$223&amp;"Por favor no seleccionar los criterios de impacto(Afectación Económica o presupuestal y Pérdida Reputacional)",U33)</f>
        <v xml:space="preserve">     Entre 10 y 50 SMLMV </v>
      </c>
      <c r="W33" s="234" t="str">
        <f>IF(OR(V33='[3]Tabla Impacto'!$C$11,V33='[3]Tabla Impacto'!$D$11),"Leve",IF(OR(V33='[3]Tabla Impacto'!$C$12,V33='[3]Tabla Impacto'!$D$12),"Menor",IF(OR(V33='[3]Tabla Impacto'!$C$13,V33='[3]Tabla Impacto'!$D$13),"Moderado",IF(OR(V33='[3]Tabla Impacto'!$C$14,V33='[3]Tabla Impacto'!$D$14),"Mayor",IF(OR(V33='[3]Tabla Impacto'!$C$15,V33='[3]Tabla Impacto'!$D$15),"Catastrófico","")))))</f>
        <v>Menor</v>
      </c>
      <c r="X33" s="189">
        <f t="shared" si="20"/>
        <v>0.4</v>
      </c>
      <c r="Y33" s="193" t="str">
        <f t="shared" si="21"/>
        <v>Moderado</v>
      </c>
      <c r="Z33" s="183">
        <v>3</v>
      </c>
      <c r="AA33" s="158" t="s">
        <v>479</v>
      </c>
      <c r="AB33" s="158" t="s">
        <v>480</v>
      </c>
      <c r="AC33" s="185" t="str">
        <f t="shared" si="9"/>
        <v>Probabilidad</v>
      </c>
      <c r="AD33" s="190" t="s">
        <v>14</v>
      </c>
      <c r="AE33" s="190" t="s">
        <v>8</v>
      </c>
      <c r="AF33" s="189" t="str">
        <f t="shared" si="27"/>
        <v>30%</v>
      </c>
      <c r="AG33" s="190" t="s">
        <v>19</v>
      </c>
      <c r="AH33" s="190" t="s">
        <v>22</v>
      </c>
      <c r="AI33" s="190" t="s">
        <v>118</v>
      </c>
      <c r="AJ33" s="182"/>
      <c r="AK33" s="224">
        <f>IFERROR(IF(AND(AC32="Probabilidad",AC33="Probabilidad"),(AM32-(+AM32*AF33)),IF(AC33="Probabilidad",(U32-(+U32*AC33)),IF(AC33="Impacto",AM32,""))),"")</f>
        <v>5.04E-2</v>
      </c>
      <c r="AL33" s="228" t="str">
        <f t="shared" si="22"/>
        <v>Muy Baja</v>
      </c>
      <c r="AM33" s="189">
        <f t="shared" si="23"/>
        <v>5.04E-2</v>
      </c>
      <c r="AN33" s="228" t="str">
        <f t="shared" si="24"/>
        <v>Menor</v>
      </c>
      <c r="AO33" s="189">
        <f t="shared" si="25"/>
        <v>0.4</v>
      </c>
      <c r="AP33" s="228" t="str">
        <f t="shared" si="26"/>
        <v>Bajo</v>
      </c>
      <c r="AQ33" s="244" t="s">
        <v>133</v>
      </c>
      <c r="AR33" s="182" t="s">
        <v>481</v>
      </c>
      <c r="AS33" s="182" t="s">
        <v>470</v>
      </c>
      <c r="AT33" s="191">
        <v>45687</v>
      </c>
      <c r="AU33" s="191"/>
      <c r="AV33" s="191"/>
      <c r="AW33" s="182"/>
      <c r="AX33" s="182"/>
      <c r="AY33" s="191"/>
      <c r="AZ33" s="182"/>
      <c r="BA33" s="182"/>
      <c r="BB33" s="182"/>
      <c r="BC33" s="191"/>
      <c r="BD33" s="182"/>
      <c r="BE33" s="182"/>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row>
    <row r="34" spans="4:83" s="225" customFormat="1" ht="264.75" customHeight="1" x14ac:dyDescent="0.25">
      <c r="D34" s="474"/>
      <c r="E34" s="474"/>
      <c r="F34" s="474"/>
      <c r="G34" s="474"/>
      <c r="H34" s="183" t="s">
        <v>226</v>
      </c>
      <c r="I34" s="182" t="s">
        <v>482</v>
      </c>
      <c r="J34" s="182" t="s">
        <v>483</v>
      </c>
      <c r="K34" s="236"/>
      <c r="L34" s="182"/>
      <c r="M34" s="236"/>
      <c r="N34" s="457"/>
      <c r="O34" s="451"/>
      <c r="P34" s="182" t="s">
        <v>233</v>
      </c>
      <c r="Q34" s="182" t="s">
        <v>233</v>
      </c>
      <c r="R34" s="182">
        <v>1</v>
      </c>
      <c r="S34" s="261" t="str">
        <f t="shared" si="18"/>
        <v>Muy Baja</v>
      </c>
      <c r="T34" s="242">
        <f t="shared" si="19"/>
        <v>0.2</v>
      </c>
      <c r="U34" s="194" t="s">
        <v>145</v>
      </c>
      <c r="V34" s="189" t="str">
        <f>IF(NOT(ISERROR(MATCH(U34,'[4]Tabla Impacto'!$B$221:$B$223,0))),'[4]Tabla Impacto'!$F$223&amp;"Por favor no seleccionar los criterios de impacto(Afectación Económica o presupuestal y Pérdida Reputacional)",U34)</f>
        <v xml:space="preserve">     Entre 10 y 50 SMLMV </v>
      </c>
      <c r="W34" s="234" t="str">
        <f>IF(OR(V34='[3]Tabla Impacto'!$C$11,V34='[3]Tabla Impacto'!$D$11),"Leve",IF(OR(V34='[3]Tabla Impacto'!$C$12,V34='[3]Tabla Impacto'!$D$12),"Menor",IF(OR(V34='[3]Tabla Impacto'!$C$13,V34='[3]Tabla Impacto'!$D$13),"Moderado",IF(OR(V34='[3]Tabla Impacto'!$C$14,V34='[3]Tabla Impacto'!$D$14),"Mayor",IF(OR(V34='[3]Tabla Impacto'!$C$15,V34='[3]Tabla Impacto'!$D$15),"Catastrófico","")))))</f>
        <v>Menor</v>
      </c>
      <c r="X34" s="189">
        <f t="shared" si="20"/>
        <v>0.4</v>
      </c>
      <c r="Y34" s="193" t="str">
        <f t="shared" si="21"/>
        <v>Bajo</v>
      </c>
      <c r="Z34" s="183">
        <v>4</v>
      </c>
      <c r="AA34" s="158" t="s">
        <v>484</v>
      </c>
      <c r="AB34" s="158" t="s">
        <v>485</v>
      </c>
      <c r="AC34" s="185" t="str">
        <f t="shared" si="9"/>
        <v>Impacto</v>
      </c>
      <c r="AD34" s="190" t="s">
        <v>15</v>
      </c>
      <c r="AE34" s="190" t="s">
        <v>8</v>
      </c>
      <c r="AF34" s="189" t="str">
        <f t="shared" si="27"/>
        <v>25%</v>
      </c>
      <c r="AG34" s="190" t="s">
        <v>19</v>
      </c>
      <c r="AH34" s="190" t="s">
        <v>21</v>
      </c>
      <c r="AI34" s="190" t="s">
        <v>118</v>
      </c>
      <c r="AJ34" s="182"/>
      <c r="AK34" s="224">
        <f>IFERROR(IF(AND(AC33="Probabilidad",AC34="Probabilidad"),(AM33-(+AM33*AF34)),IF(AC34="Probabilidad",(U33-(+U33*AC34)),IF(AC34="Impacto",AM33,""))),"")</f>
        <v>5.04E-2</v>
      </c>
      <c r="AL34" s="228" t="str">
        <f t="shared" si="22"/>
        <v>Muy Baja</v>
      </c>
      <c r="AM34" s="189">
        <f t="shared" si="23"/>
        <v>5.04E-2</v>
      </c>
      <c r="AN34" s="228" t="str">
        <f t="shared" si="24"/>
        <v>Menor</v>
      </c>
      <c r="AO34" s="189">
        <f t="shared" si="25"/>
        <v>0.30000000000000004</v>
      </c>
      <c r="AP34" s="228" t="str">
        <f t="shared" si="26"/>
        <v>Bajo</v>
      </c>
      <c r="AQ34" s="244" t="s">
        <v>133</v>
      </c>
      <c r="AR34" s="182" t="s">
        <v>486</v>
      </c>
      <c r="AS34" s="182" t="s">
        <v>470</v>
      </c>
      <c r="AT34" s="191">
        <v>45687</v>
      </c>
      <c r="AU34" s="191"/>
      <c r="AV34" s="191"/>
      <c r="AW34" s="182"/>
      <c r="AX34" s="182"/>
      <c r="AY34" s="191"/>
      <c r="AZ34" s="182"/>
      <c r="BA34" s="182"/>
      <c r="BB34" s="182"/>
      <c r="BC34" s="191"/>
      <c r="BD34" s="182"/>
      <c r="BE34" s="182"/>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row>
    <row r="35" spans="4:83" s="283" customFormat="1" ht="99.75" customHeight="1" x14ac:dyDescent="0.25">
      <c r="D35" s="471" t="s">
        <v>528</v>
      </c>
      <c r="E35" s="473" t="s">
        <v>217</v>
      </c>
      <c r="F35" s="475" t="s">
        <v>129</v>
      </c>
      <c r="G35" s="473" t="s">
        <v>311</v>
      </c>
      <c r="H35" s="473" t="s">
        <v>225</v>
      </c>
      <c r="I35" s="450" t="s">
        <v>338</v>
      </c>
      <c r="J35" s="450" t="s">
        <v>339</v>
      </c>
      <c r="K35" s="271"/>
      <c r="L35" s="272"/>
      <c r="M35" s="271"/>
      <c r="N35" s="456" t="s">
        <v>340</v>
      </c>
      <c r="O35" s="450" t="s">
        <v>355</v>
      </c>
      <c r="P35" s="450" t="s">
        <v>232</v>
      </c>
      <c r="Q35" s="450" t="s">
        <v>236</v>
      </c>
      <c r="R35" s="450">
        <v>200</v>
      </c>
      <c r="S35" s="448" t="str">
        <f t="shared" si="18"/>
        <v>Media</v>
      </c>
      <c r="T35" s="460">
        <f t="shared" si="19"/>
        <v>0.6</v>
      </c>
      <c r="U35" s="464" t="s">
        <v>150</v>
      </c>
      <c r="V35" s="460" t="str">
        <f>IF(NOT(ISERROR(MATCH(U35,'Tabla Impacto'!$B$221:$B$223,0))),'Tabla Impacto'!$F$223&amp;"Por favor no seleccionar los criterios de impacto(Afectación Económica o presupuestal y Pérdida Reputacional)",U35)</f>
        <v xml:space="preserve">     El riesgo afecta la imagen de la entidad con algunos usuarios de relevancia frente al logro de los objetivos</v>
      </c>
      <c r="W35" s="462" t="str">
        <f>IF(OR(V35='[3]Tabla Impacto'!$C$11,V35='[3]Tabla Impacto'!$D$11),"Leve",IF(OR(V35='[3]Tabla Impacto'!$C$12,V35='[3]Tabla Impacto'!$D$12),"Menor",IF(OR(V35='[3]Tabla Impacto'!$C$13,V35='[3]Tabla Impacto'!$D$13),"Moderado",IF(OR(V35='[3]Tabla Impacto'!$C$14,V35='[3]Tabla Impacto'!$D$14),"Mayor",IF(OR(V35='[3]Tabla Impacto'!$C$15,V35='[3]Tabla Impacto'!$D$15),"Catastrófico","")))))</f>
        <v>Moderado</v>
      </c>
      <c r="X35" s="460">
        <f t="shared" ref="X35:X39" si="28">IF(W35="","",IF(W35="Leve",0.2,IF(W35="Menor",0.4,IF(W35="Moderado",0.6,IF(W35="Mayor",0.8,IF(W35="Catastrófico",1,))))))</f>
        <v>0.6</v>
      </c>
      <c r="Y35" s="448" t="str">
        <f t="shared" ref="Y35:Y39" si="29">IF(OR(AND(S35="Muy Baja",W35="Leve"),AND(S35="Muy Baja",W35="Menor"),AND(S35="Baja",W35="Leve")),"Bajo",IF(OR(AND(S35="Muy baja",W35="Moderado"),AND(S35="Baja",W35="Menor"),AND(S35="Baja",W35="Moderado"),AND(S35="Media",W35="Leve"),AND(S35="Media",W35="Menor"),AND(S35="Media",W35="Moderado"),AND(S35="Alta",W35="Leve"),AND(S35="Alta",W35="Menor")),"Moderado",IF(OR(AND(S35="Muy Baja",W35="Mayor"),AND(S35="Baja",W35="Mayor"),AND(S35="Media",W35="Mayor"),AND(S35="Alta",W35="Moderado"),AND(S35="Alta",W35="Mayor"),AND(S35="Muy Alta",W35="Leve"),AND(S35="Muy Alta",W35="Menor"),AND(S35="Muy Alta",W35="Moderado"),AND(S35="Muy Alta",W35="Mayor")),"Alto",IF(OR(AND(S35="Muy Baja",W35="Catastrófico"),AND(S35="Baja",W35="Catastrófico"),AND(S35="Media",W35="Catastrófico"),AND(S35="Alta",W35="Catastrófico"),AND(S35="Muy Alta",W35="Catastrófico")),"Extremo",""))))</f>
        <v>Moderado</v>
      </c>
      <c r="Z35" s="273">
        <v>1</v>
      </c>
      <c r="AA35" s="274" t="s">
        <v>532</v>
      </c>
      <c r="AB35" s="274" t="s">
        <v>370</v>
      </c>
      <c r="AC35" s="275" t="str">
        <f t="shared" si="9"/>
        <v>Probabilidad</v>
      </c>
      <c r="AD35" s="276" t="s">
        <v>13</v>
      </c>
      <c r="AE35" s="276" t="s">
        <v>8</v>
      </c>
      <c r="AF35" s="277" t="str">
        <f t="shared" si="27"/>
        <v>40%</v>
      </c>
      <c r="AG35" s="276" t="s">
        <v>18</v>
      </c>
      <c r="AH35" s="276" t="s">
        <v>21</v>
      </c>
      <c r="AI35" s="276" t="s">
        <v>117</v>
      </c>
      <c r="AJ35" s="278" t="s">
        <v>371</v>
      </c>
      <c r="AK35" s="279">
        <f>IFERROR(IF(AC35="Probabilidad",(T35-(+T35*AF35)),IF(AC35="Impacto",T35,"")),"")</f>
        <v>0.36</v>
      </c>
      <c r="AL35" s="280" t="str">
        <f t="shared" ref="AL35:AL47" si="30">IFERROR(IF(AK35="","",IF(AK35&lt;=0.2,"Muy Baja",IF(AK35&lt;=0.4,"Baja",IF(AK35&lt;=0.6,"Media",IF(AK35&lt;=0.8,"Alta","Muy Alta"))))),"")</f>
        <v>Baja</v>
      </c>
      <c r="AM35" s="281">
        <f t="shared" ref="AM35:AM47" si="31">+AK35</f>
        <v>0.36</v>
      </c>
      <c r="AN35" s="280" t="str">
        <f t="shared" ref="AN35:AN47" si="32">IFERROR(IF(AO35="","",IF(AO35&lt;=0.2,"Leve",IF(AO35&lt;=0.4,"Menor",IF(AO35&lt;=0.6,"Moderado",IF(AO35&lt;=0.8,"Mayor","Catastrófico"))))),"")</f>
        <v>Moderado</v>
      </c>
      <c r="AO35" s="281">
        <f t="shared" ref="AO35:AO47" si="33">IFERROR(IF(AC35="Impacto",(X35-(+X35*AF35)),IF(AC35="Probabilidad",X35,"")),"")</f>
        <v>0.6</v>
      </c>
      <c r="AP35" s="280" t="str">
        <f t="shared" ref="AP35:AP47" si="34">IFERROR(IF(OR(AND(AL35="Muy Baja",AN35="Leve"),AND(AL35="Muy Baja",AN35="Menor"),AND(AL35="Baja",AN35="Leve")),"Bajo",IF(OR(AND(AL35="Muy baja",AN35="Moderado"),AND(AL35="Baja",AN35="Menor"),AND(AL35="Baja",AN35="Moderado"),AND(AL35="Media",AN35="Leve"),AND(AL35="Media",AN35="Menor"),AND(AL35="Media",AN35="Moderado"),AND(AL35="Alta",AN35="Leve"),AND(AL35="Alta",AN35="Menor")),"Moderado",IF(OR(AND(AL35="Muy Baja",AN35="Mayor"),AND(AL35="Baja",AN35="Mayor"),AND(AL35="Media",AN35="Mayor"),AND(AL35="Alta",AN35="Moderado"),AND(AL35="Alta",AN35="Mayor"),AND(AL35="Muy Alta",AN35="Leve"),AND(AL35="Muy Alta",AN35="Menor"),AND(AL35="Muy Alta",AN35="Moderado"),AND(AL35="Muy Alta",AN35="Mayor")),"Alto",IF(OR(AND(AL35="Muy Baja",AN35="Catastrófico"),AND(AL35="Baja",AN35="Catastrófico"),AND(AL35="Media",AN35="Catastrófico"),AND(AL35="Alta",AN35="Catastrófico"),AND(AL35="Muy Alta",AN35="Catastrófico")),"Extremo","")))),"")</f>
        <v>Moderado</v>
      </c>
      <c r="AQ35" s="244" t="s">
        <v>133</v>
      </c>
      <c r="AR35" s="450" t="s">
        <v>356</v>
      </c>
      <c r="AS35" s="450" t="s">
        <v>257</v>
      </c>
      <c r="AT35" s="452">
        <v>45687</v>
      </c>
      <c r="AU35" s="282"/>
      <c r="AV35" s="282"/>
      <c r="AW35" s="272"/>
      <c r="AX35" s="272"/>
      <c r="AY35" s="282"/>
      <c r="AZ35" s="272"/>
      <c r="BA35" s="272"/>
      <c r="BB35" s="272"/>
      <c r="BC35" s="282"/>
      <c r="BD35" s="272"/>
      <c r="BE35" s="272"/>
    </row>
    <row r="36" spans="4:83" s="225" customFormat="1" ht="99.75" customHeight="1" x14ac:dyDescent="0.25">
      <c r="D36" s="472"/>
      <c r="E36" s="474"/>
      <c r="F36" s="475"/>
      <c r="G36" s="474"/>
      <c r="H36" s="474"/>
      <c r="I36" s="451"/>
      <c r="J36" s="451"/>
      <c r="K36" s="236"/>
      <c r="L36" s="182"/>
      <c r="M36" s="236"/>
      <c r="N36" s="457"/>
      <c r="O36" s="451"/>
      <c r="P36" s="451"/>
      <c r="Q36" s="451"/>
      <c r="R36" s="451"/>
      <c r="S36" s="449"/>
      <c r="T36" s="461"/>
      <c r="U36" s="465"/>
      <c r="V36" s="461"/>
      <c r="W36" s="463"/>
      <c r="X36" s="461"/>
      <c r="Y36" s="449"/>
      <c r="Z36" s="183">
        <v>2</v>
      </c>
      <c r="AA36" s="184" t="s">
        <v>357</v>
      </c>
      <c r="AB36" s="184" t="s">
        <v>372</v>
      </c>
      <c r="AC36" s="185" t="str">
        <f t="shared" si="9"/>
        <v>Probabilidad</v>
      </c>
      <c r="AD36" s="186" t="s">
        <v>13</v>
      </c>
      <c r="AE36" s="186" t="s">
        <v>8</v>
      </c>
      <c r="AF36" s="187" t="str">
        <f t="shared" si="27"/>
        <v>40%</v>
      </c>
      <c r="AG36" s="186" t="s">
        <v>18</v>
      </c>
      <c r="AH36" s="186" t="s">
        <v>21</v>
      </c>
      <c r="AI36" s="186" t="s">
        <v>117</v>
      </c>
      <c r="AJ36" s="209" t="s">
        <v>373</v>
      </c>
      <c r="AK36" s="224">
        <f>IFERROR(IF(AND(AC35="Probabilidad",AC36="Probabilidad"),(AM35-(+AM35*AF36)),IF(AC36="Probabilidad",(U35-(+U35*AC36)),IF(AC36="Impacto",AM35,""))),"")</f>
        <v>0.216</v>
      </c>
      <c r="AL36" s="228" t="str">
        <f t="shared" si="30"/>
        <v>Baja</v>
      </c>
      <c r="AM36" s="189">
        <f t="shared" si="31"/>
        <v>0.216</v>
      </c>
      <c r="AN36" s="228" t="str">
        <f t="shared" si="32"/>
        <v>Leve</v>
      </c>
      <c r="AO36" s="189">
        <f t="shared" si="33"/>
        <v>0</v>
      </c>
      <c r="AP36" s="228" t="str">
        <f t="shared" si="34"/>
        <v>Bajo</v>
      </c>
      <c r="AQ36" s="244" t="s">
        <v>133</v>
      </c>
      <c r="AR36" s="451"/>
      <c r="AS36" s="451"/>
      <c r="AT36" s="453"/>
      <c r="AU36" s="191"/>
      <c r="AV36" s="191"/>
      <c r="AW36" s="182"/>
      <c r="AX36" s="182"/>
      <c r="AY36" s="191"/>
      <c r="AZ36" s="182"/>
      <c r="BA36" s="182"/>
      <c r="BB36" s="182"/>
      <c r="BC36" s="191"/>
      <c r="BD36" s="182"/>
      <c r="BE36" s="182"/>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row>
    <row r="37" spans="4:83" s="225" customFormat="1" ht="110.25" customHeight="1" x14ac:dyDescent="0.25">
      <c r="D37" s="471" t="s">
        <v>529</v>
      </c>
      <c r="E37" s="471" t="s">
        <v>217</v>
      </c>
      <c r="F37" s="476" t="s">
        <v>129</v>
      </c>
      <c r="G37" s="473" t="s">
        <v>311</v>
      </c>
      <c r="H37" s="471" t="s">
        <v>225</v>
      </c>
      <c r="I37" s="450" t="s">
        <v>343</v>
      </c>
      <c r="J37" s="450" t="s">
        <v>344</v>
      </c>
      <c r="K37" s="236"/>
      <c r="L37" s="182"/>
      <c r="M37" s="236"/>
      <c r="N37" s="456" t="s">
        <v>345</v>
      </c>
      <c r="O37" s="450" t="s">
        <v>355</v>
      </c>
      <c r="P37" s="450" t="s">
        <v>232</v>
      </c>
      <c r="Q37" s="450" t="s">
        <v>235</v>
      </c>
      <c r="R37" s="458">
        <v>30</v>
      </c>
      <c r="S37" s="448" t="str">
        <f t="shared" ref="S37:S41" si="35">IF(R37&lt;=0,"",IF(R37&lt;=2,"Muy Baja",IF(R37&lt;=24,"Baja",IF(R37&lt;=500,"Media",IF(R37&lt;=5000,"Alta","Muy Alta")))))</f>
        <v>Media</v>
      </c>
      <c r="T37" s="460">
        <f t="shared" ref="T37:T41" si="36">IF(S37="","",IF(S37="Muy Baja",0.2,IF(S37="Baja",0.4,IF(S37="Media",0.6,IF(S37="Alta",0.8,IF(S37="Muy Alta",1,))))))</f>
        <v>0.6</v>
      </c>
      <c r="U37" s="464" t="s">
        <v>150</v>
      </c>
      <c r="V37" s="460" t="str">
        <f>IF(NOT(ISERROR(MATCH(U37,'Tabla Impacto'!$B$221:$B$223,0))),'Tabla Impacto'!$F$223&amp;"Por favor no seleccionar los criterios de impacto(Afectación Económica o presupuestal y Pérdida Reputacional)",U37)</f>
        <v xml:space="preserve">     El riesgo afecta la imagen de la entidad con algunos usuarios de relevancia frente al logro de los objetivos</v>
      </c>
      <c r="W37" s="462" t="str">
        <f>IF(OR(V37='[3]Tabla Impacto'!$C$11,V37='[3]Tabla Impacto'!$D$11),"Leve",IF(OR(V37='[3]Tabla Impacto'!$C$12,V37='[3]Tabla Impacto'!$D$12),"Menor",IF(OR(V37='[3]Tabla Impacto'!$C$13,V37='[3]Tabla Impacto'!$D$13),"Moderado",IF(OR(V37='[3]Tabla Impacto'!$C$14,V37='[3]Tabla Impacto'!$D$14),"Mayor",IF(OR(V37='[3]Tabla Impacto'!$C$15,V37='[3]Tabla Impacto'!$D$15),"Catastrófico","")))))</f>
        <v>Moderado</v>
      </c>
      <c r="X37" s="460">
        <f t="shared" si="28"/>
        <v>0.6</v>
      </c>
      <c r="Y37" s="448" t="str">
        <f t="shared" si="29"/>
        <v>Moderado</v>
      </c>
      <c r="Z37" s="196">
        <v>1</v>
      </c>
      <c r="AA37" s="184" t="s">
        <v>358</v>
      </c>
      <c r="AB37" s="158" t="s">
        <v>374</v>
      </c>
      <c r="AC37" s="185" t="str">
        <f t="shared" si="9"/>
        <v>Probabilidad</v>
      </c>
      <c r="AD37" s="197" t="s">
        <v>13</v>
      </c>
      <c r="AE37" s="197" t="s">
        <v>8</v>
      </c>
      <c r="AF37" s="198" t="str">
        <f t="shared" si="27"/>
        <v>40%</v>
      </c>
      <c r="AG37" s="197" t="s">
        <v>18</v>
      </c>
      <c r="AH37" s="197" t="s">
        <v>21</v>
      </c>
      <c r="AI37" s="197" t="s">
        <v>117</v>
      </c>
      <c r="AJ37" s="223" t="s">
        <v>375</v>
      </c>
      <c r="AK37" s="188">
        <f>IFERROR(IF(AC37="Probabilidad",(T37-(+T37*AF37)),IF(AC37="Impacto",T37,"")),"")</f>
        <v>0.36</v>
      </c>
      <c r="AL37" s="228" t="str">
        <f t="shared" si="30"/>
        <v>Baja</v>
      </c>
      <c r="AM37" s="189">
        <f t="shared" si="31"/>
        <v>0.36</v>
      </c>
      <c r="AN37" s="228" t="str">
        <f t="shared" si="32"/>
        <v>Moderado</v>
      </c>
      <c r="AO37" s="189">
        <f t="shared" si="33"/>
        <v>0.6</v>
      </c>
      <c r="AP37" s="228" t="str">
        <f t="shared" si="34"/>
        <v>Moderado</v>
      </c>
      <c r="AQ37" s="244" t="s">
        <v>133</v>
      </c>
      <c r="AR37" s="454" t="s">
        <v>359</v>
      </c>
      <c r="AS37" s="454" t="s">
        <v>351</v>
      </c>
      <c r="AT37" s="452">
        <v>45687</v>
      </c>
      <c r="AU37" s="191"/>
      <c r="AV37" s="191"/>
      <c r="AW37" s="182"/>
      <c r="AX37" s="182"/>
      <c r="AY37" s="191"/>
      <c r="AZ37" s="182"/>
      <c r="BA37" s="182"/>
      <c r="BB37" s="182"/>
      <c r="BC37" s="191"/>
      <c r="BD37" s="182"/>
      <c r="BE37" s="182"/>
      <c r="BF37" s="229"/>
      <c r="BG37" s="229"/>
      <c r="BH37" s="229"/>
      <c r="BI37" s="229"/>
      <c r="BJ37" s="229"/>
      <c r="BK37" s="229"/>
      <c r="BL37" s="229"/>
      <c r="BM37" s="229"/>
      <c r="BN37" s="229"/>
      <c r="BO37" s="229"/>
      <c r="BP37" s="229"/>
      <c r="BQ37" s="229"/>
      <c r="BR37" s="229"/>
      <c r="BS37" s="229"/>
      <c r="BT37" s="229"/>
      <c r="BU37" s="229"/>
      <c r="BV37" s="229"/>
      <c r="BW37" s="229"/>
      <c r="BX37" s="229"/>
      <c r="BY37" s="229"/>
      <c r="BZ37" s="229"/>
      <c r="CA37" s="229"/>
      <c r="CB37" s="229"/>
      <c r="CC37" s="229"/>
      <c r="CD37" s="229"/>
      <c r="CE37" s="229"/>
    </row>
    <row r="38" spans="4:83" s="225" customFormat="1" ht="110.25" customHeight="1" x14ac:dyDescent="0.25">
      <c r="D38" s="472"/>
      <c r="E38" s="472"/>
      <c r="F38" s="476"/>
      <c r="G38" s="474"/>
      <c r="H38" s="472"/>
      <c r="I38" s="451"/>
      <c r="J38" s="451"/>
      <c r="K38" s="236"/>
      <c r="L38" s="182"/>
      <c r="M38" s="236"/>
      <c r="N38" s="457"/>
      <c r="O38" s="451"/>
      <c r="P38" s="451"/>
      <c r="Q38" s="451"/>
      <c r="R38" s="459"/>
      <c r="S38" s="449"/>
      <c r="T38" s="461"/>
      <c r="U38" s="465"/>
      <c r="V38" s="461"/>
      <c r="W38" s="463"/>
      <c r="X38" s="461"/>
      <c r="Y38" s="449"/>
      <c r="Z38" s="196">
        <v>2</v>
      </c>
      <c r="AA38" s="184" t="s">
        <v>360</v>
      </c>
      <c r="AB38" s="158" t="s">
        <v>376</v>
      </c>
      <c r="AC38" s="185" t="str">
        <f t="shared" si="9"/>
        <v>Probabilidad</v>
      </c>
      <c r="AD38" s="197" t="s">
        <v>13</v>
      </c>
      <c r="AE38" s="197" t="s">
        <v>8</v>
      </c>
      <c r="AF38" s="198" t="str">
        <f t="shared" si="27"/>
        <v>40%</v>
      </c>
      <c r="AG38" s="197" t="s">
        <v>18</v>
      </c>
      <c r="AH38" s="197" t="s">
        <v>21</v>
      </c>
      <c r="AI38" s="197" t="s">
        <v>118</v>
      </c>
      <c r="AJ38" s="182" t="s">
        <v>377</v>
      </c>
      <c r="AK38" s="224">
        <f>IFERROR(IF(AND(AC37="Probabilidad",AC38="Probabilidad"),(AM37-(+AM37*AF38)),IF(AC38="Probabilidad",(U37-(+U37*AC38)),IF(AC38="Impacto",AM37,""))),"")</f>
        <v>0.216</v>
      </c>
      <c r="AL38" s="228" t="str">
        <f t="shared" si="30"/>
        <v>Baja</v>
      </c>
      <c r="AM38" s="189">
        <f t="shared" si="31"/>
        <v>0.216</v>
      </c>
      <c r="AN38" s="228" t="str">
        <f t="shared" si="32"/>
        <v>Leve</v>
      </c>
      <c r="AO38" s="189">
        <f t="shared" si="33"/>
        <v>0</v>
      </c>
      <c r="AP38" s="228" t="str">
        <f t="shared" si="34"/>
        <v>Bajo</v>
      </c>
      <c r="AQ38" s="244" t="s">
        <v>133</v>
      </c>
      <c r="AR38" s="455"/>
      <c r="AS38" s="455"/>
      <c r="AT38" s="453"/>
      <c r="AU38" s="191"/>
      <c r="AV38" s="191"/>
      <c r="AW38" s="182"/>
      <c r="AX38" s="182"/>
      <c r="AY38" s="191"/>
      <c r="AZ38" s="182"/>
      <c r="BA38" s="182"/>
      <c r="BB38" s="182"/>
      <c r="BC38" s="191"/>
      <c r="BD38" s="182"/>
      <c r="BE38" s="182"/>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row>
    <row r="39" spans="4:83" s="225" customFormat="1" ht="122.25" customHeight="1" x14ac:dyDescent="0.25">
      <c r="D39" s="471" t="s">
        <v>530</v>
      </c>
      <c r="E39" s="471" t="s">
        <v>217</v>
      </c>
      <c r="F39" s="471" t="s">
        <v>129</v>
      </c>
      <c r="G39" s="473" t="s">
        <v>311</v>
      </c>
      <c r="H39" s="471" t="s">
        <v>225</v>
      </c>
      <c r="I39" s="450" t="s">
        <v>346</v>
      </c>
      <c r="J39" s="450" t="s">
        <v>347</v>
      </c>
      <c r="K39" s="236"/>
      <c r="L39" s="182"/>
      <c r="M39" s="236"/>
      <c r="N39" s="456" t="s">
        <v>348</v>
      </c>
      <c r="O39" s="450" t="s">
        <v>355</v>
      </c>
      <c r="P39" s="450" t="s">
        <v>232</v>
      </c>
      <c r="Q39" s="450" t="s">
        <v>236</v>
      </c>
      <c r="R39" s="458">
        <v>20</v>
      </c>
      <c r="S39" s="448" t="str">
        <f t="shared" si="35"/>
        <v>Baja</v>
      </c>
      <c r="T39" s="460">
        <f t="shared" si="36"/>
        <v>0.4</v>
      </c>
      <c r="U39" s="464" t="s">
        <v>150</v>
      </c>
      <c r="V39" s="466" t="str">
        <f>IF(NOT(ISERROR(MATCH(U39,'Tabla Impacto'!$B$221:$B$223,0))),'Tabla Impacto'!$F$223&amp;"Por favor no seleccionar los criterios de impacto(Afectación Económica o presupuestal y Pérdida Reputacional)",U39)</f>
        <v xml:space="preserve">     El riesgo afecta la imagen de la entidad con algunos usuarios de relevancia frente al logro de los objetivos</v>
      </c>
      <c r="W39" s="462" t="str">
        <f>IF(OR(V39='[3]Tabla Impacto'!$C$11,V39='[3]Tabla Impacto'!$D$11),"Leve",IF(OR(V39='[3]Tabla Impacto'!$C$12,V39='[3]Tabla Impacto'!$D$12),"Menor",IF(OR(V39='[3]Tabla Impacto'!$C$13,V39='[3]Tabla Impacto'!$D$13),"Moderado",IF(OR(V39='[3]Tabla Impacto'!$C$14,V39='[3]Tabla Impacto'!$D$14),"Mayor",IF(OR(V39='[3]Tabla Impacto'!$C$15,V39='[3]Tabla Impacto'!$D$15),"Catastrófico","")))))</f>
        <v>Moderado</v>
      </c>
      <c r="X39" s="460">
        <f t="shared" si="28"/>
        <v>0.6</v>
      </c>
      <c r="Y39" s="448" t="str">
        <f t="shared" si="29"/>
        <v>Moderado</v>
      </c>
      <c r="Z39" s="196">
        <v>1</v>
      </c>
      <c r="AA39" s="184" t="s">
        <v>361</v>
      </c>
      <c r="AB39" s="158" t="s">
        <v>378</v>
      </c>
      <c r="AC39" s="185" t="str">
        <f t="shared" si="9"/>
        <v>Probabilidad</v>
      </c>
      <c r="AD39" s="197" t="s">
        <v>13</v>
      </c>
      <c r="AE39" s="197" t="s">
        <v>8</v>
      </c>
      <c r="AF39" s="198" t="str">
        <f t="shared" si="27"/>
        <v>40%</v>
      </c>
      <c r="AG39" s="197" t="s">
        <v>18</v>
      </c>
      <c r="AH39" s="197" t="s">
        <v>21</v>
      </c>
      <c r="AI39" s="197" t="s">
        <v>117</v>
      </c>
      <c r="AJ39" s="182" t="s">
        <v>379</v>
      </c>
      <c r="AK39" s="188">
        <f>IFERROR(IF(AC39="Probabilidad",(T39-(+T39*AF39)),IF(AC39="Impacto",T39,"")),"")</f>
        <v>0.24</v>
      </c>
      <c r="AL39" s="228" t="str">
        <f t="shared" si="30"/>
        <v>Baja</v>
      </c>
      <c r="AM39" s="189">
        <f t="shared" si="31"/>
        <v>0.24</v>
      </c>
      <c r="AN39" s="228" t="str">
        <f t="shared" si="32"/>
        <v>Moderado</v>
      </c>
      <c r="AO39" s="189">
        <f t="shared" si="33"/>
        <v>0.6</v>
      </c>
      <c r="AP39" s="228" t="str">
        <f t="shared" si="34"/>
        <v>Moderado</v>
      </c>
      <c r="AQ39" s="244" t="s">
        <v>133</v>
      </c>
      <c r="AR39" s="454" t="s">
        <v>350</v>
      </c>
      <c r="AS39" s="454" t="s">
        <v>257</v>
      </c>
      <c r="AT39" s="452">
        <v>45687</v>
      </c>
      <c r="AU39" s="191"/>
      <c r="AV39" s="191"/>
      <c r="AW39" s="182"/>
      <c r="AX39" s="182"/>
      <c r="AY39" s="191"/>
      <c r="AZ39" s="182"/>
      <c r="BA39" s="182"/>
      <c r="BB39" s="182"/>
      <c r="BC39" s="191"/>
      <c r="BD39" s="182"/>
      <c r="BE39" s="182"/>
      <c r="BF39" s="229"/>
      <c r="BG39" s="229"/>
      <c r="BH39" s="229"/>
      <c r="BI39" s="229"/>
      <c r="BJ39" s="229"/>
      <c r="BK39" s="229"/>
      <c r="BL39" s="229"/>
      <c r="BM39" s="229"/>
      <c r="BN39" s="229"/>
      <c r="BO39" s="229"/>
      <c r="BP39" s="229"/>
      <c r="BQ39" s="229"/>
      <c r="BR39" s="229"/>
      <c r="BS39" s="229"/>
      <c r="BT39" s="229"/>
      <c r="BU39" s="229"/>
      <c r="BV39" s="229"/>
      <c r="BW39" s="229"/>
      <c r="BX39" s="229"/>
      <c r="BY39" s="229"/>
      <c r="BZ39" s="229"/>
      <c r="CA39" s="229"/>
      <c r="CB39" s="229"/>
      <c r="CC39" s="229"/>
      <c r="CD39" s="229"/>
      <c r="CE39" s="229"/>
    </row>
    <row r="40" spans="4:83" s="225" customFormat="1" ht="122.25" customHeight="1" x14ac:dyDescent="0.25">
      <c r="D40" s="472"/>
      <c r="E40" s="472"/>
      <c r="F40" s="472"/>
      <c r="G40" s="474"/>
      <c r="H40" s="472"/>
      <c r="I40" s="451"/>
      <c r="J40" s="451"/>
      <c r="K40" s="236"/>
      <c r="L40" s="182"/>
      <c r="M40" s="236"/>
      <c r="N40" s="457"/>
      <c r="O40" s="451"/>
      <c r="P40" s="451"/>
      <c r="Q40" s="451"/>
      <c r="R40" s="459"/>
      <c r="S40" s="449"/>
      <c r="T40" s="461"/>
      <c r="U40" s="465"/>
      <c r="V40" s="467"/>
      <c r="W40" s="463"/>
      <c r="X40" s="461"/>
      <c r="Y40" s="449"/>
      <c r="Z40" s="196">
        <v>2</v>
      </c>
      <c r="AA40" s="209" t="s">
        <v>362</v>
      </c>
      <c r="AB40" s="158" t="s">
        <v>380</v>
      </c>
      <c r="AC40" s="185" t="str">
        <f t="shared" si="9"/>
        <v>Probabilidad</v>
      </c>
      <c r="AD40" s="197" t="s">
        <v>13</v>
      </c>
      <c r="AE40" s="197" t="s">
        <v>8</v>
      </c>
      <c r="AF40" s="198" t="str">
        <f t="shared" si="27"/>
        <v>40%</v>
      </c>
      <c r="AG40" s="197" t="s">
        <v>19</v>
      </c>
      <c r="AH40" s="197" t="s">
        <v>21</v>
      </c>
      <c r="AI40" s="197" t="s">
        <v>117</v>
      </c>
      <c r="AJ40" s="182" t="s">
        <v>381</v>
      </c>
      <c r="AK40" s="224">
        <f>IFERROR(IF(AND(AC39="Probabilidad",AC40="Probabilidad"),(AM39-(+AM39*AF40)),IF(AC40="Probabilidad",(U39-(+U39*AC40)),IF(AC40="Impacto",AM39,""))),"")</f>
        <v>0.14399999999999999</v>
      </c>
      <c r="AL40" s="228" t="str">
        <f t="shared" si="30"/>
        <v>Muy Baja</v>
      </c>
      <c r="AM40" s="189">
        <f t="shared" si="31"/>
        <v>0.14399999999999999</v>
      </c>
      <c r="AN40" s="228" t="str">
        <f t="shared" si="32"/>
        <v>Leve</v>
      </c>
      <c r="AO40" s="189">
        <f t="shared" si="33"/>
        <v>0</v>
      </c>
      <c r="AP40" s="228" t="str">
        <f t="shared" si="34"/>
        <v>Bajo</v>
      </c>
      <c r="AQ40" s="244" t="s">
        <v>133</v>
      </c>
      <c r="AR40" s="455"/>
      <c r="AS40" s="455"/>
      <c r="AT40" s="453"/>
      <c r="AU40" s="191"/>
      <c r="AV40" s="191"/>
      <c r="AW40" s="182"/>
      <c r="AX40" s="182"/>
      <c r="AY40" s="191"/>
      <c r="AZ40" s="182"/>
      <c r="BA40" s="182"/>
      <c r="BB40" s="182"/>
      <c r="BC40" s="191"/>
      <c r="BD40" s="182"/>
      <c r="BE40" s="182"/>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row>
    <row r="41" spans="4:83" s="225" customFormat="1" ht="156.75" customHeight="1" x14ac:dyDescent="0.25">
      <c r="D41" s="196" t="s">
        <v>531</v>
      </c>
      <c r="E41" s="196" t="s">
        <v>215</v>
      </c>
      <c r="F41" s="202" t="s">
        <v>310</v>
      </c>
      <c r="G41" s="212" t="s">
        <v>312</v>
      </c>
      <c r="H41" s="196" t="s">
        <v>224</v>
      </c>
      <c r="I41" s="182" t="s">
        <v>349</v>
      </c>
      <c r="J41" s="182" t="s">
        <v>363</v>
      </c>
      <c r="K41" s="236"/>
      <c r="L41" s="182"/>
      <c r="M41" s="236"/>
      <c r="N41" s="203" t="s">
        <v>364</v>
      </c>
      <c r="O41" s="182" t="s">
        <v>126</v>
      </c>
      <c r="P41" s="182" t="s">
        <v>231</v>
      </c>
      <c r="Q41" s="182" t="s">
        <v>235</v>
      </c>
      <c r="R41" s="192">
        <v>365</v>
      </c>
      <c r="S41" s="261" t="str">
        <f t="shared" si="35"/>
        <v>Media</v>
      </c>
      <c r="T41" s="242">
        <f t="shared" si="36"/>
        <v>0.6</v>
      </c>
      <c r="U41" s="194" t="s">
        <v>150</v>
      </c>
      <c r="V41" s="195" t="str">
        <f>IF(NOT(ISERROR(MATCH(U41,'Tabla Impacto'!$B$221:$B$223,0))),'Tabla Impacto'!$F$223&amp;"Por favor no seleccionar los criterios de impacto(Afectación Económica o presupuestal y Pérdida Reputacional)",U41)</f>
        <v xml:space="preserve">     El riesgo afecta la imagen de la entidad con algunos usuarios de relevancia frente al logro de los objetivos</v>
      </c>
      <c r="W41" s="292" t="str">
        <f>IF(OR(V41='[3]Tabla Impacto'!$C$11,V41='[3]Tabla Impacto'!$D$11),"Leve",IF(OR(V41='[3]Tabla Impacto'!$C$12,V41='[3]Tabla Impacto'!$D$12),"Menor",IF(OR(V41='[3]Tabla Impacto'!$C$13,V41='[3]Tabla Impacto'!$D$13),"Moderado",IF(OR(V41='[3]Tabla Impacto'!$C$14,V41='[3]Tabla Impacto'!$D$14),"Mayor",IF(OR(V41='[3]Tabla Impacto'!$C$15,V41='[3]Tabla Impacto'!$D$15),"Catastrófico","")))))</f>
        <v>Moderado</v>
      </c>
      <c r="X41" s="285">
        <f t="shared" ref="X41" si="37">IF(W41="","",IF(W41="Leve",0.2,IF(W41="Menor",0.4,IF(W41="Moderado",0.6,IF(W41="Mayor",0.8,IF(W41="Catastrófico",1,))))))</f>
        <v>0.6</v>
      </c>
      <c r="Y41" s="291" t="str">
        <f t="shared" ref="Y41" si="38">IF(OR(AND(S41="Muy Baja",W41="Leve"),AND(S41="Muy Baja",W41="Menor"),AND(S41="Baja",W41="Leve")),"Bajo",IF(OR(AND(S41="Muy baja",W41="Moderado"),AND(S41="Baja",W41="Menor"),AND(S41="Baja",W41="Moderado"),AND(S41="Media",W41="Leve"),AND(S41="Media",W41="Menor"),AND(S41="Media",W41="Moderado"),AND(S41="Alta",W41="Leve"),AND(S41="Alta",W41="Menor")),"Moderado",IF(OR(AND(S41="Muy Baja",W41="Mayor"),AND(S41="Baja",W41="Mayor"),AND(S41="Media",W41="Mayor"),AND(S41="Alta",W41="Moderado"),AND(S41="Alta",W41="Mayor"),AND(S41="Muy Alta",W41="Leve"),AND(S41="Muy Alta",W41="Menor"),AND(S41="Muy Alta",W41="Moderado"),AND(S41="Muy Alta",W41="Mayor")),"Alto",IF(OR(AND(S41="Muy Baja",W41="Catastrófico"),AND(S41="Baja",W41="Catastrófico"),AND(S41="Media",W41="Catastrófico"),AND(S41="Alta",W41="Catastrófico"),AND(S41="Muy Alta",W41="Catastrófico")),"Extremo",""))))</f>
        <v>Moderado</v>
      </c>
      <c r="Z41" s="196">
        <v>1</v>
      </c>
      <c r="AA41" s="209" t="s">
        <v>365</v>
      </c>
      <c r="AB41" s="158" t="s">
        <v>382</v>
      </c>
      <c r="AC41" s="185" t="str">
        <f t="shared" si="9"/>
        <v>Probabilidad</v>
      </c>
      <c r="AD41" s="197" t="s">
        <v>13</v>
      </c>
      <c r="AE41" s="197" t="s">
        <v>8</v>
      </c>
      <c r="AF41" s="198" t="str">
        <f t="shared" si="27"/>
        <v>40%</v>
      </c>
      <c r="AG41" s="197" t="s">
        <v>18</v>
      </c>
      <c r="AH41" s="197"/>
      <c r="AI41" s="197" t="s">
        <v>117</v>
      </c>
      <c r="AJ41" s="182" t="s">
        <v>383</v>
      </c>
      <c r="AK41" s="188">
        <f>IFERROR(IF(AC41="Probabilidad",(T41-(+T41*AF41)),IF(AC41="Impacto",T41,"")),"")</f>
        <v>0.36</v>
      </c>
      <c r="AL41" s="228" t="str">
        <f t="shared" si="30"/>
        <v>Baja</v>
      </c>
      <c r="AM41" s="189">
        <f t="shared" si="31"/>
        <v>0.36</v>
      </c>
      <c r="AN41" s="228" t="str">
        <f t="shared" si="32"/>
        <v>Moderado</v>
      </c>
      <c r="AO41" s="189">
        <f t="shared" si="33"/>
        <v>0.6</v>
      </c>
      <c r="AP41" s="228" t="str">
        <f t="shared" si="34"/>
        <v>Moderado</v>
      </c>
      <c r="AQ41" s="244" t="s">
        <v>133</v>
      </c>
      <c r="AR41" s="210" t="s">
        <v>366</v>
      </c>
      <c r="AS41" s="182" t="s">
        <v>257</v>
      </c>
      <c r="AT41" s="211">
        <v>45687</v>
      </c>
      <c r="AU41" s="191"/>
      <c r="AV41" s="191"/>
      <c r="AW41" s="182"/>
      <c r="AX41" s="182"/>
      <c r="AY41" s="191"/>
      <c r="AZ41" s="182"/>
      <c r="BA41" s="182"/>
      <c r="BB41" s="182"/>
      <c r="BC41" s="191"/>
      <c r="BD41" s="182"/>
      <c r="BE41" s="182"/>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row>
    <row r="42" spans="4:83" s="225" customFormat="1" ht="147.75" customHeight="1" x14ac:dyDescent="0.25">
      <c r="D42" s="183" t="s">
        <v>571</v>
      </c>
      <c r="E42" s="196" t="s">
        <v>217</v>
      </c>
      <c r="F42" s="202" t="s">
        <v>131</v>
      </c>
      <c r="G42" s="212" t="s">
        <v>311</v>
      </c>
      <c r="H42" s="196" t="s">
        <v>225</v>
      </c>
      <c r="I42" s="182" t="s">
        <v>543</v>
      </c>
      <c r="J42" s="182" t="s">
        <v>544</v>
      </c>
      <c r="K42" s="236"/>
      <c r="L42" s="182"/>
      <c r="M42" s="236"/>
      <c r="N42" s="226" t="s">
        <v>545</v>
      </c>
      <c r="O42" s="182" t="s">
        <v>126</v>
      </c>
      <c r="P42" s="182" t="s">
        <v>231</v>
      </c>
      <c r="Q42" s="182" t="s">
        <v>235</v>
      </c>
      <c r="R42" s="182">
        <v>2</v>
      </c>
      <c r="S42" s="261" t="str">
        <f t="shared" ref="S42:S45" si="39">IF(R42&lt;=0,"",IF(R42&lt;=2,"Muy Baja",IF(R42&lt;=24,"Baja",IF(R42&lt;=500,"Media",IF(R42&lt;=5000,"Alta","Muy Alta")))))</f>
        <v>Muy Baja</v>
      </c>
      <c r="T42" s="242">
        <f t="shared" ref="T42:T44" si="40">IF(S42="","",IF(S42="Muy Baja",0.2,IF(S42="Baja",0.4,IF(S42="Media",0.6,IF(S42="Alta",0.8,IF(S42="Muy Alta",1,))))))</f>
        <v>0.2</v>
      </c>
      <c r="U42" s="194" t="s">
        <v>148</v>
      </c>
      <c r="V42" s="285" t="str">
        <f>IF(NOT(ISERROR(MATCH(U42,'[5]Tabla Impacto'!$B$221:$B$223,0))),'[5]Tabla Impacto'!$F$223&amp;"Por favor no seleccionar los criterios de impacto(Afectación Económica o presupuestal y Pérdida Reputacional)",U42)</f>
        <v xml:space="preserve">     El riesgo afecta la imagen de alguna área de la organización</v>
      </c>
      <c r="W42" s="292" t="str">
        <f>IF(OR(V42='[3]Tabla Impacto'!$C$11,V42='[3]Tabla Impacto'!$D$11),"Leve",IF(OR(V42='[3]Tabla Impacto'!$C$12,V42='[3]Tabla Impacto'!$D$12),"Menor",IF(OR(V42='[3]Tabla Impacto'!$C$13,V42='[3]Tabla Impacto'!$D$13),"Moderado",IF(OR(V42='[3]Tabla Impacto'!$C$14,V42='[3]Tabla Impacto'!$D$14),"Mayor",IF(OR(V42='[3]Tabla Impacto'!$C$15,V42='[3]Tabla Impacto'!$D$15),"Catastrófico","")))))</f>
        <v>Leve</v>
      </c>
      <c r="X42" s="285">
        <f t="shared" ref="X42:X45" si="41">IF(W42="","",IF(W42="Leve",0.2,IF(W42="Menor",0.4,IF(W42="Moderado",0.6,IF(W42="Mayor",0.8,IF(W42="Catastrófico",1,))))))</f>
        <v>0.2</v>
      </c>
      <c r="Y42" s="291" t="str">
        <f t="shared" ref="Y42:Y45" si="42">IF(OR(AND(S42="Muy Baja",W42="Leve"),AND(S42="Muy Baja",W42="Menor"),AND(S42="Baja",W42="Leve")),"Bajo",IF(OR(AND(S42="Muy baja",W42="Moderado"),AND(S42="Baja",W42="Menor"),AND(S42="Baja",W42="Moderado"),AND(S42="Media",W42="Leve"),AND(S42="Media",W42="Menor"),AND(S42="Media",W42="Moderado"),AND(S42="Alta",W42="Leve"),AND(S42="Alta",W42="Menor")),"Moderado",IF(OR(AND(S42="Muy Baja",W42="Mayor"),AND(S42="Baja",W42="Mayor"),AND(S42="Media",W42="Mayor"),AND(S42="Alta",W42="Moderado"),AND(S42="Alta",W42="Mayor"),AND(S42="Muy Alta",W42="Leve"),AND(S42="Muy Alta",W42="Menor"),AND(S42="Muy Alta",W42="Moderado"),AND(S42="Muy Alta",W42="Mayor")),"Alto",IF(OR(AND(S42="Muy Baja",W42="Catastrófico"),AND(S42="Baja",W42="Catastrófico"),AND(S42="Media",W42="Catastrófico"),AND(S42="Alta",W42="Catastrófico"),AND(S42="Muy Alta",W42="Catastrófico")),"Extremo",""))))</f>
        <v>Bajo</v>
      </c>
      <c r="Z42" s="183">
        <v>1</v>
      </c>
      <c r="AA42" s="158" t="s">
        <v>546</v>
      </c>
      <c r="AB42" s="158" t="s">
        <v>547</v>
      </c>
      <c r="AC42" s="185" t="str">
        <f t="shared" si="9"/>
        <v>Probabilidad</v>
      </c>
      <c r="AD42" s="190" t="s">
        <v>13</v>
      </c>
      <c r="AE42" s="190" t="s">
        <v>8</v>
      </c>
      <c r="AF42" s="287" t="str">
        <f>IF(AND(AD42="Preventivo",AE42="Automático"),"50%",IF(AND(AD42="Preventivo",AE42="Manual"),"40%",IF(AND(AD42="Detectivo",AE42="Automático"),"40%",IF(AND(AD42="Detectivo",AE42="Manual"),"30%",IF(AND(AD42="Correctivo",AE42="Automático"),"35%",IF(AND(AD42="Correctivo",AE42="Manual"),"25%",""))))))</f>
        <v>40%</v>
      </c>
      <c r="AG42" s="190" t="s">
        <v>18</v>
      </c>
      <c r="AH42" s="190" t="s">
        <v>21</v>
      </c>
      <c r="AI42" s="190" t="s">
        <v>117</v>
      </c>
      <c r="AJ42" s="255" t="s">
        <v>548</v>
      </c>
      <c r="AK42" s="224">
        <f>IFERROR(IF(AND(AC41="Probabilidad",AC42="Probabilidad"),(AM41-(+AM41*AF42)),IF(AC42="Probabilidad",(U41-(+U41*AC42)),IF(AC42="Impacto",AM41,""))),"")</f>
        <v>0.216</v>
      </c>
      <c r="AL42" s="228" t="str">
        <f t="shared" si="30"/>
        <v>Baja</v>
      </c>
      <c r="AM42" s="189">
        <f t="shared" si="31"/>
        <v>0.216</v>
      </c>
      <c r="AN42" s="228" t="str">
        <f t="shared" si="32"/>
        <v>Leve</v>
      </c>
      <c r="AO42" s="189">
        <f t="shared" si="33"/>
        <v>0.2</v>
      </c>
      <c r="AP42" s="228" t="str">
        <f t="shared" si="34"/>
        <v>Bajo</v>
      </c>
      <c r="AQ42" s="244" t="s">
        <v>133</v>
      </c>
      <c r="AR42" s="251" t="s">
        <v>549</v>
      </c>
      <c r="AS42" s="251" t="s">
        <v>550</v>
      </c>
      <c r="AT42" s="191">
        <v>45687</v>
      </c>
      <c r="AU42" s="191"/>
      <c r="AV42" s="191"/>
      <c r="AW42" s="182"/>
      <c r="AX42" s="182"/>
      <c r="AY42" s="191"/>
      <c r="AZ42" s="182"/>
      <c r="BA42" s="182"/>
      <c r="BB42" s="182"/>
      <c r="BC42" s="191"/>
      <c r="BD42" s="182"/>
      <c r="BE42" s="182"/>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c r="CD42" s="229"/>
      <c r="CE42" s="229"/>
    </row>
    <row r="43" spans="4:83" s="225" customFormat="1" ht="165.75" customHeight="1" x14ac:dyDescent="0.25">
      <c r="D43" s="183" t="s">
        <v>572</v>
      </c>
      <c r="E43" s="196" t="s">
        <v>217</v>
      </c>
      <c r="F43" s="202" t="s">
        <v>129</v>
      </c>
      <c r="G43" s="212" t="s">
        <v>311</v>
      </c>
      <c r="H43" s="196" t="s">
        <v>225</v>
      </c>
      <c r="I43" s="251" t="s">
        <v>551</v>
      </c>
      <c r="J43" s="251" t="s">
        <v>552</v>
      </c>
      <c r="K43" s="236"/>
      <c r="L43" s="182"/>
      <c r="M43" s="236"/>
      <c r="N43" s="259" t="s">
        <v>553</v>
      </c>
      <c r="O43" s="182" t="s">
        <v>121</v>
      </c>
      <c r="P43" s="182" t="s">
        <v>231</v>
      </c>
      <c r="Q43" s="182" t="s">
        <v>235</v>
      </c>
      <c r="R43" s="182">
        <v>1</v>
      </c>
      <c r="S43" s="261" t="str">
        <f t="shared" si="39"/>
        <v>Muy Baja</v>
      </c>
      <c r="T43" s="242">
        <f t="shared" si="40"/>
        <v>0.2</v>
      </c>
      <c r="U43" s="194" t="s">
        <v>148</v>
      </c>
      <c r="V43" s="242" t="str">
        <f>IF(NOT(ISERROR(MATCH(U43,'[5]Tabla Impacto'!$B$221:$B$223,0))),'[5]Tabla Impacto'!$F$223&amp;"Por favor no seleccionar los criterios de impacto(Afectación Económica o presupuestal y Pérdida Reputacional)",U43)</f>
        <v xml:space="preserve">     El riesgo afecta la imagen de alguna área de la organización</v>
      </c>
      <c r="W43" s="292" t="str">
        <f>IF(OR(V43='[3]Tabla Impacto'!$C$11,V43='[3]Tabla Impacto'!$D$11),"Leve",IF(OR(V43='[3]Tabla Impacto'!$C$12,V43='[3]Tabla Impacto'!$D$12),"Menor",IF(OR(V43='[3]Tabla Impacto'!$C$13,V43='[3]Tabla Impacto'!$D$13),"Moderado",IF(OR(V43='[3]Tabla Impacto'!$C$14,V43='[3]Tabla Impacto'!$D$14),"Mayor",IF(OR(V43='[3]Tabla Impacto'!$C$15,V43='[3]Tabla Impacto'!$D$15),"Catastrófico","")))))</f>
        <v>Leve</v>
      </c>
      <c r="X43" s="285">
        <f t="shared" si="41"/>
        <v>0.2</v>
      </c>
      <c r="Y43" s="291" t="str">
        <f t="shared" si="42"/>
        <v>Bajo</v>
      </c>
      <c r="Z43" s="193">
        <v>1</v>
      </c>
      <c r="AA43" s="289" t="s">
        <v>554</v>
      </c>
      <c r="AB43" s="255" t="s">
        <v>555</v>
      </c>
      <c r="AC43" s="185" t="str">
        <f t="shared" si="9"/>
        <v>Probabilidad</v>
      </c>
      <c r="AD43" s="190" t="s">
        <v>13</v>
      </c>
      <c r="AE43" s="190" t="s">
        <v>8</v>
      </c>
      <c r="AF43" s="287" t="str">
        <f t="shared" ref="AF43:AF45" si="43">IF(AND(AD43="Preventivo",AE43="Automático"),"50%",IF(AND(AD43="Preventivo",AE43="Manual"),"40%",IF(AND(AD43="Detectivo",AE43="Automático"),"40%",IF(AND(AD43="Detectivo",AE43="Manual"),"30%",IF(AND(AD43="Correctivo",AE43="Automático"),"35%",IF(AND(AD43="Correctivo",AE43="Manual"),"25%",""))))))</f>
        <v>40%</v>
      </c>
      <c r="AG43" s="190" t="s">
        <v>18</v>
      </c>
      <c r="AH43" s="190" t="s">
        <v>21</v>
      </c>
      <c r="AI43" s="190" t="s">
        <v>117</v>
      </c>
      <c r="AJ43" s="255" t="s">
        <v>556</v>
      </c>
      <c r="AK43" s="224">
        <f t="shared" ref="AK43:AK45" si="44">IFERROR(IF(AND(AC42="Probabilidad",AC43="Probabilidad"),(AM42-(+AM42*AF43)),IF(AC43="Probabilidad",(U42-(+U42*AC43)),IF(AC43="Impacto",AM42,""))),"")</f>
        <v>0.12959999999999999</v>
      </c>
      <c r="AL43" s="228" t="str">
        <f t="shared" ref="AL43:AL45" si="45">IFERROR(IF(AK43="","",IF(AK43&lt;=0.2,"Muy Baja",IF(AK43&lt;=0.4,"Baja",IF(AK43&lt;=0.6,"Media",IF(AK43&lt;=0.8,"Alta","Muy Alta"))))),"")</f>
        <v>Muy Baja</v>
      </c>
      <c r="AM43" s="189">
        <f t="shared" ref="AM43:AM45" si="46">+AK43</f>
        <v>0.12959999999999999</v>
      </c>
      <c r="AN43" s="228" t="str">
        <f t="shared" ref="AN43:AN45" si="47">IFERROR(IF(AO43="","",IF(AO43&lt;=0.2,"Leve",IF(AO43&lt;=0.4,"Menor",IF(AO43&lt;=0.6,"Moderado",IF(AO43&lt;=0.8,"Mayor","Catastrófico"))))),"")</f>
        <v>Leve</v>
      </c>
      <c r="AO43" s="189">
        <f t="shared" ref="AO43:AO45" si="48">IFERROR(IF(AC43="Impacto",(X43-(+X43*AF43)),IF(AC43="Probabilidad",X43,"")),"")</f>
        <v>0.2</v>
      </c>
      <c r="AP43" s="228" t="str">
        <f t="shared" ref="AP43:AP45" si="49">IFERROR(IF(OR(AND(AL43="Muy Baja",AN43="Leve"),AND(AL43="Muy Baja",AN43="Menor"),AND(AL43="Baja",AN43="Leve")),"Bajo",IF(OR(AND(AL43="Muy baja",AN43="Moderado"),AND(AL43="Baja",AN43="Menor"),AND(AL43="Baja",AN43="Moderado"),AND(AL43="Media",AN43="Leve"),AND(AL43="Media",AN43="Menor"),AND(AL43="Media",AN43="Moderado"),AND(AL43="Alta",AN43="Leve"),AND(AL43="Alta",AN43="Menor")),"Moderado",IF(OR(AND(AL43="Muy Baja",AN43="Mayor"),AND(AL43="Baja",AN43="Mayor"),AND(AL43="Media",AN43="Mayor"),AND(AL43="Alta",AN43="Moderado"),AND(AL43="Alta",AN43="Mayor"),AND(AL43="Muy Alta",AN43="Leve"),AND(AL43="Muy Alta",AN43="Menor"),AND(AL43="Muy Alta",AN43="Moderado"),AND(AL43="Muy Alta",AN43="Mayor")),"Alto",IF(OR(AND(AL43="Muy Baja",AN43="Catastrófico"),AND(AL43="Baja",AN43="Catastrófico"),AND(AL43="Media",AN43="Catastrófico"),AND(AL43="Alta",AN43="Catastrófico"),AND(AL43="Muy Alta",AN43="Catastrófico")),"Extremo","")))),"")</f>
        <v>Bajo</v>
      </c>
      <c r="AQ43" s="244" t="s">
        <v>133</v>
      </c>
      <c r="AR43" s="251" t="s">
        <v>557</v>
      </c>
      <c r="AS43" s="251" t="s">
        <v>550</v>
      </c>
      <c r="AT43" s="191">
        <v>45687</v>
      </c>
      <c r="AU43" s="191"/>
      <c r="AV43" s="191"/>
      <c r="AW43" s="182"/>
      <c r="AX43" s="182"/>
      <c r="AY43" s="191"/>
      <c r="AZ43" s="182"/>
      <c r="BA43" s="182"/>
      <c r="BB43" s="182"/>
      <c r="BC43" s="191"/>
      <c r="BD43" s="182"/>
      <c r="BE43" s="182"/>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row>
    <row r="44" spans="4:83" s="225" customFormat="1" ht="161.25" customHeight="1" x14ac:dyDescent="0.25">
      <c r="D44" s="183" t="s">
        <v>573</v>
      </c>
      <c r="E44" s="196" t="s">
        <v>215</v>
      </c>
      <c r="F44" s="202" t="s">
        <v>129</v>
      </c>
      <c r="G44" s="212" t="s">
        <v>311</v>
      </c>
      <c r="H44" s="196" t="s">
        <v>225</v>
      </c>
      <c r="I44" s="251" t="s">
        <v>558</v>
      </c>
      <c r="J44" s="251" t="s">
        <v>559</v>
      </c>
      <c r="K44" s="236"/>
      <c r="L44" s="182"/>
      <c r="M44" s="236"/>
      <c r="N44" s="259" t="s">
        <v>560</v>
      </c>
      <c r="O44" s="182" t="s">
        <v>121</v>
      </c>
      <c r="P44" s="182" t="s">
        <v>231</v>
      </c>
      <c r="Q44" s="182" t="s">
        <v>235</v>
      </c>
      <c r="R44" s="182">
        <v>1</v>
      </c>
      <c r="S44" s="261" t="str">
        <f t="shared" si="39"/>
        <v>Muy Baja</v>
      </c>
      <c r="T44" s="242">
        <f t="shared" si="40"/>
        <v>0.2</v>
      </c>
      <c r="U44" s="194" t="s">
        <v>148</v>
      </c>
      <c r="V44" s="242" t="str">
        <f>IF(NOT(ISERROR(MATCH(U44,'[5]Tabla Impacto'!$B$221:$B$223,0))),'[5]Tabla Impacto'!$F$223&amp;"Por favor no seleccionar los criterios de impacto(Afectación Económica o presupuestal y Pérdida Reputacional)",U44)</f>
        <v xml:space="preserve">     El riesgo afecta la imagen de alguna área de la organización</v>
      </c>
      <c r="W44" s="292" t="str">
        <f>IF(OR(V44='[3]Tabla Impacto'!$C$11,V44='[3]Tabla Impacto'!$D$11),"Leve",IF(OR(V44='[3]Tabla Impacto'!$C$12,V44='[3]Tabla Impacto'!$D$12),"Menor",IF(OR(V44='[3]Tabla Impacto'!$C$13,V44='[3]Tabla Impacto'!$D$13),"Moderado",IF(OR(V44='[3]Tabla Impacto'!$C$14,V44='[3]Tabla Impacto'!$D$14),"Mayor",IF(OR(V44='[3]Tabla Impacto'!$C$15,V44='[3]Tabla Impacto'!$D$15),"Catastrófico","")))))</f>
        <v>Leve</v>
      </c>
      <c r="X44" s="285">
        <f t="shared" si="41"/>
        <v>0.2</v>
      </c>
      <c r="Y44" s="291" t="str">
        <f t="shared" si="42"/>
        <v>Bajo</v>
      </c>
      <c r="Z44" s="183">
        <v>1</v>
      </c>
      <c r="AA44" s="158" t="s">
        <v>561</v>
      </c>
      <c r="AB44" s="158" t="s">
        <v>562</v>
      </c>
      <c r="AC44" s="185" t="str">
        <f t="shared" si="9"/>
        <v>Probabilidad</v>
      </c>
      <c r="AD44" s="190" t="s">
        <v>13</v>
      </c>
      <c r="AE44" s="190" t="s">
        <v>8</v>
      </c>
      <c r="AF44" s="287" t="str">
        <f t="shared" si="43"/>
        <v>40%</v>
      </c>
      <c r="AG44" s="190" t="s">
        <v>18</v>
      </c>
      <c r="AH44" s="190" t="s">
        <v>21</v>
      </c>
      <c r="AI44" s="190" t="s">
        <v>117</v>
      </c>
      <c r="AJ44" s="255" t="s">
        <v>563</v>
      </c>
      <c r="AK44" s="224">
        <f t="shared" si="44"/>
        <v>7.7759999999999996E-2</v>
      </c>
      <c r="AL44" s="228" t="str">
        <f t="shared" si="45"/>
        <v>Muy Baja</v>
      </c>
      <c r="AM44" s="189">
        <f t="shared" si="46"/>
        <v>7.7759999999999996E-2</v>
      </c>
      <c r="AN44" s="228" t="str">
        <f t="shared" si="47"/>
        <v>Leve</v>
      </c>
      <c r="AO44" s="189">
        <f t="shared" si="48"/>
        <v>0.2</v>
      </c>
      <c r="AP44" s="228" t="str">
        <f t="shared" si="49"/>
        <v>Bajo</v>
      </c>
      <c r="AQ44" s="244" t="s">
        <v>133</v>
      </c>
      <c r="AR44" s="251" t="s">
        <v>564</v>
      </c>
      <c r="AS44" s="251" t="s">
        <v>550</v>
      </c>
      <c r="AT44" s="191">
        <v>45687</v>
      </c>
      <c r="AU44" s="191"/>
      <c r="AV44" s="191"/>
      <c r="AW44" s="182"/>
      <c r="AX44" s="182"/>
      <c r="AY44" s="191"/>
      <c r="AZ44" s="182"/>
      <c r="BA44" s="182"/>
      <c r="BB44" s="182"/>
      <c r="BC44" s="191"/>
      <c r="BD44" s="182"/>
      <c r="BE44" s="182"/>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row>
    <row r="45" spans="4:83" s="225" customFormat="1" ht="137.25" customHeight="1" x14ac:dyDescent="0.25">
      <c r="D45" s="183" t="s">
        <v>574</v>
      </c>
      <c r="E45" s="196" t="s">
        <v>215</v>
      </c>
      <c r="F45" s="202" t="s">
        <v>129</v>
      </c>
      <c r="G45" s="212" t="s">
        <v>312</v>
      </c>
      <c r="H45" s="196" t="s">
        <v>225</v>
      </c>
      <c r="I45" s="251" t="s">
        <v>565</v>
      </c>
      <c r="J45" s="251" t="s">
        <v>566</v>
      </c>
      <c r="K45" s="236"/>
      <c r="L45" s="182"/>
      <c r="M45" s="236"/>
      <c r="N45" s="259" t="s">
        <v>567</v>
      </c>
      <c r="O45" s="182" t="s">
        <v>121</v>
      </c>
      <c r="P45" s="182"/>
      <c r="Q45" s="235"/>
      <c r="R45" s="182">
        <v>1</v>
      </c>
      <c r="S45" s="261" t="str">
        <f t="shared" si="39"/>
        <v>Muy Baja</v>
      </c>
      <c r="T45" s="189"/>
      <c r="U45" s="194" t="s">
        <v>148</v>
      </c>
      <c r="V45" s="242" t="str">
        <f>IF(NOT(ISERROR(MATCH(U45,'[5]Tabla Impacto'!$B$221:$B$223,0))),'[5]Tabla Impacto'!$F$223&amp;"Por favor no seleccionar los criterios de impacto(Afectación Económica o presupuestal y Pérdida Reputacional)",U45)</f>
        <v xml:space="preserve">     El riesgo afecta la imagen de alguna área de la organización</v>
      </c>
      <c r="W45" s="292" t="str">
        <f>IF(OR(V45='[3]Tabla Impacto'!$C$11,V45='[3]Tabla Impacto'!$D$11),"Leve",IF(OR(V45='[3]Tabla Impacto'!$C$12,V45='[3]Tabla Impacto'!$D$12),"Menor",IF(OR(V45='[3]Tabla Impacto'!$C$13,V45='[3]Tabla Impacto'!$D$13),"Moderado",IF(OR(V45='[3]Tabla Impacto'!$C$14,V45='[3]Tabla Impacto'!$D$14),"Mayor",IF(OR(V45='[3]Tabla Impacto'!$C$15,V45='[3]Tabla Impacto'!$D$15),"Catastrófico","")))))</f>
        <v>Leve</v>
      </c>
      <c r="X45" s="285">
        <f t="shared" si="41"/>
        <v>0.2</v>
      </c>
      <c r="Y45" s="291" t="str">
        <f t="shared" si="42"/>
        <v>Bajo</v>
      </c>
      <c r="Z45" s="183">
        <v>1</v>
      </c>
      <c r="AA45" s="256" t="s">
        <v>568</v>
      </c>
      <c r="AB45" s="255" t="s">
        <v>569</v>
      </c>
      <c r="AC45" s="185" t="str">
        <f t="shared" si="9"/>
        <v>Probabilidad</v>
      </c>
      <c r="AD45" s="190" t="s">
        <v>13</v>
      </c>
      <c r="AE45" s="190" t="s">
        <v>8</v>
      </c>
      <c r="AF45" s="287" t="str">
        <f t="shared" si="43"/>
        <v>40%</v>
      </c>
      <c r="AG45" s="190" t="s">
        <v>18</v>
      </c>
      <c r="AH45" s="190" t="s">
        <v>21</v>
      </c>
      <c r="AI45" s="190" t="s">
        <v>117</v>
      </c>
      <c r="AJ45" s="255" t="s">
        <v>556</v>
      </c>
      <c r="AK45" s="224">
        <f t="shared" si="44"/>
        <v>4.6655999999999996E-2</v>
      </c>
      <c r="AL45" s="228" t="str">
        <f t="shared" si="45"/>
        <v>Muy Baja</v>
      </c>
      <c r="AM45" s="189">
        <f t="shared" si="46"/>
        <v>4.6655999999999996E-2</v>
      </c>
      <c r="AN45" s="228" t="str">
        <f t="shared" si="47"/>
        <v>Leve</v>
      </c>
      <c r="AO45" s="189">
        <f t="shared" si="48"/>
        <v>0.2</v>
      </c>
      <c r="AP45" s="228" t="str">
        <f t="shared" si="49"/>
        <v>Bajo</v>
      </c>
      <c r="AQ45" s="244" t="s">
        <v>133</v>
      </c>
      <c r="AR45" s="251" t="s">
        <v>557</v>
      </c>
      <c r="AS45" s="251" t="s">
        <v>550</v>
      </c>
      <c r="AT45" s="191">
        <v>45687</v>
      </c>
      <c r="AU45" s="191"/>
      <c r="AV45" s="191"/>
      <c r="AW45" s="182"/>
      <c r="AX45" s="182"/>
      <c r="AY45" s="191"/>
      <c r="AZ45" s="182"/>
      <c r="BA45" s="182"/>
      <c r="BB45" s="182"/>
      <c r="BC45" s="191"/>
      <c r="BD45" s="182"/>
      <c r="BE45" s="182"/>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row>
    <row r="46" spans="4:83" s="225" customFormat="1" ht="264.75" customHeight="1" x14ac:dyDescent="0.25">
      <c r="D46" s="183"/>
      <c r="E46" s="196"/>
      <c r="F46" s="202"/>
      <c r="G46" s="212"/>
      <c r="H46" s="196"/>
      <c r="I46" s="226"/>
      <c r="J46" s="203"/>
      <c r="K46" s="236"/>
      <c r="L46" s="182"/>
      <c r="M46" s="236"/>
      <c r="N46" s="203"/>
      <c r="O46" s="182"/>
      <c r="P46" s="182"/>
      <c r="Q46" s="235"/>
      <c r="R46" s="182"/>
      <c r="S46" s="193"/>
      <c r="T46" s="189"/>
      <c r="U46" s="194"/>
      <c r="V46" s="189"/>
      <c r="W46" s="234"/>
      <c r="X46" s="189"/>
      <c r="Y46" s="193"/>
      <c r="Z46" s="196"/>
      <c r="AA46" s="210"/>
      <c r="AB46" s="203"/>
      <c r="AC46" s="185"/>
      <c r="AD46" s="190"/>
      <c r="AE46" s="190"/>
      <c r="AF46" s="189"/>
      <c r="AG46" s="190"/>
      <c r="AH46" s="190"/>
      <c r="AI46" s="190"/>
      <c r="AJ46" s="182"/>
      <c r="AK46" s="224"/>
      <c r="AL46" s="228"/>
      <c r="AM46" s="189"/>
      <c r="AN46" s="228"/>
      <c r="AO46" s="189"/>
      <c r="AP46" s="228"/>
      <c r="AQ46" s="244"/>
      <c r="AR46" s="232"/>
      <c r="AS46" s="232"/>
      <c r="AT46" s="231"/>
      <c r="AU46" s="191"/>
      <c r="AV46" s="191"/>
      <c r="AW46" s="182"/>
      <c r="AX46" s="182"/>
      <c r="AY46" s="191"/>
      <c r="AZ46" s="182"/>
      <c r="BA46" s="182"/>
      <c r="BB46" s="182"/>
      <c r="BC46" s="191"/>
      <c r="BD46" s="182"/>
      <c r="BE46" s="182"/>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row>
    <row r="47" spans="4:83" s="225" customFormat="1" ht="264.75" customHeight="1" x14ac:dyDescent="0.25">
      <c r="D47" s="183"/>
      <c r="E47" s="196"/>
      <c r="F47" s="202"/>
      <c r="G47" s="212"/>
      <c r="H47" s="196"/>
      <c r="I47" s="226"/>
      <c r="J47" s="203"/>
      <c r="K47" s="236"/>
      <c r="L47" s="182"/>
      <c r="M47" s="236"/>
      <c r="N47" s="203"/>
      <c r="O47" s="182"/>
      <c r="P47" s="182"/>
      <c r="Q47" s="235"/>
      <c r="R47" s="182"/>
      <c r="S47" s="193"/>
      <c r="T47" s="189"/>
      <c r="U47" s="194"/>
      <c r="V47" s="189"/>
      <c r="W47" s="234"/>
      <c r="X47" s="189"/>
      <c r="Y47" s="193"/>
      <c r="Z47" s="196"/>
      <c r="AA47" s="210"/>
      <c r="AB47" s="203"/>
      <c r="AC47" s="185" t="str">
        <f t="shared" si="9"/>
        <v/>
      </c>
      <c r="AD47" s="190"/>
      <c r="AE47" s="190"/>
      <c r="AF47" s="189"/>
      <c r="AG47" s="190"/>
      <c r="AH47" s="190"/>
      <c r="AI47" s="190"/>
      <c r="AJ47" s="182"/>
      <c r="AK47" s="224" t="str">
        <f t="shared" ref="AK47" si="50">IFERROR(IF(AND(AC42="Probabilidad",AC47="Probabilidad"),(AM42-(+AM42*AF47)),IF(AC47="Probabilidad",(U42-(+U42*AC47)),IF(AC47="Impacto",AM42,""))),"")</f>
        <v/>
      </c>
      <c r="AL47" s="228" t="str">
        <f t="shared" si="30"/>
        <v/>
      </c>
      <c r="AM47" s="189" t="str">
        <f t="shared" si="31"/>
        <v/>
      </c>
      <c r="AN47" s="228" t="str">
        <f t="shared" si="32"/>
        <v/>
      </c>
      <c r="AO47" s="189" t="str">
        <f t="shared" si="33"/>
        <v/>
      </c>
      <c r="AP47" s="228" t="str">
        <f t="shared" si="34"/>
        <v/>
      </c>
      <c r="AQ47" s="190"/>
      <c r="AR47" s="232"/>
      <c r="AS47" s="232"/>
      <c r="AT47" s="231"/>
      <c r="AU47" s="191"/>
      <c r="AV47" s="191"/>
      <c r="AW47" s="182"/>
      <c r="AX47" s="182"/>
      <c r="AY47" s="191"/>
      <c r="AZ47" s="182"/>
      <c r="BA47" s="182"/>
      <c r="BB47" s="182"/>
      <c r="BC47" s="191"/>
      <c r="BD47" s="182"/>
      <c r="BE47" s="182"/>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c r="CD47" s="229"/>
      <c r="CE47" s="229"/>
    </row>
    <row r="48" spans="4:83" ht="49.5" customHeight="1" x14ac:dyDescent="0.2">
      <c r="D48" s="204"/>
      <c r="E48" s="205"/>
      <c r="F48" s="205"/>
      <c r="G48" s="205"/>
      <c r="H48" s="205"/>
      <c r="I48" s="230"/>
      <c r="J48" s="230"/>
      <c r="K48" s="496" t="s">
        <v>390</v>
      </c>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7"/>
    </row>
    <row r="50" spans="4:52" ht="15.75" x14ac:dyDescent="0.2">
      <c r="D50" s="109"/>
      <c r="E50" s="110"/>
      <c r="F50" s="110"/>
      <c r="G50" s="110"/>
      <c r="H50" s="110"/>
      <c r="I50" s="110"/>
      <c r="J50" s="110"/>
      <c r="K50" s="110"/>
      <c r="L50" s="110"/>
      <c r="M50" s="110"/>
      <c r="N50" s="110"/>
      <c r="O50" s="165"/>
      <c r="P50" s="165"/>
      <c r="Q50" s="165"/>
      <c r="S50" s="111"/>
      <c r="T50" s="110"/>
      <c r="U50" s="110"/>
      <c r="V50" s="110"/>
      <c r="W50" s="110"/>
      <c r="X50" s="110"/>
      <c r="Y50" s="110"/>
      <c r="Z50" s="110"/>
      <c r="AA50" s="110"/>
      <c r="AB50" s="110"/>
      <c r="AC50" s="112"/>
      <c r="AD50" s="112"/>
      <c r="AE50" s="110"/>
      <c r="AF50" s="110"/>
      <c r="AG50" s="110"/>
      <c r="AH50" s="110"/>
      <c r="AI50" s="110"/>
      <c r="AJ50" s="110"/>
      <c r="AK50" s="110"/>
      <c r="AL50" s="110"/>
      <c r="AM50" s="110"/>
      <c r="AN50" s="110"/>
      <c r="AO50" s="110"/>
      <c r="AP50" s="110"/>
      <c r="AQ50" s="113"/>
      <c r="AR50" s="113"/>
      <c r="AS50" s="113"/>
      <c r="AT50" s="110"/>
      <c r="AU50" s="110"/>
      <c r="AV50" s="110"/>
      <c r="AW50" s="110"/>
      <c r="AX50" s="110"/>
      <c r="AY50" s="110"/>
      <c r="AZ50" s="110"/>
    </row>
    <row r="51" spans="4:52" ht="18" x14ac:dyDescent="0.2">
      <c r="D51" s="498" t="s">
        <v>389</v>
      </c>
      <c r="E51" s="498"/>
      <c r="F51" s="498"/>
      <c r="G51" s="498"/>
      <c r="H51" s="498"/>
      <c r="I51" s="498"/>
      <c r="J51" s="498"/>
      <c r="K51" s="498"/>
      <c r="L51" s="498"/>
      <c r="M51" s="498"/>
      <c r="N51" s="498"/>
      <c r="O51" s="165"/>
      <c r="P51" s="165"/>
      <c r="Q51" s="165"/>
      <c r="R51" s="499" t="s">
        <v>388</v>
      </c>
      <c r="S51" s="500"/>
      <c r="T51" s="500"/>
      <c r="U51" s="501"/>
      <c r="V51" s="110"/>
      <c r="W51" s="110"/>
      <c r="X51" s="110"/>
      <c r="Y51" s="110"/>
      <c r="Z51" s="110"/>
      <c r="AA51" s="110"/>
      <c r="AB51" s="113"/>
      <c r="AC51" s="112"/>
      <c r="AD51" s="112"/>
      <c r="AE51" s="110"/>
      <c r="AF51" s="112"/>
      <c r="AG51" s="112"/>
      <c r="AH51" s="110"/>
      <c r="AI51" s="110"/>
      <c r="AJ51" s="110"/>
      <c r="AK51" s="110"/>
      <c r="AL51" s="110"/>
      <c r="AM51" s="110"/>
      <c r="AN51" s="110"/>
      <c r="AO51" s="110"/>
      <c r="AP51" s="110"/>
      <c r="AQ51" s="110"/>
      <c r="AR51" s="110"/>
      <c r="AS51" s="110"/>
      <c r="AT51" s="110"/>
      <c r="AU51" s="110"/>
      <c r="AV51" s="110"/>
      <c r="AW51" s="110"/>
      <c r="AX51" s="110"/>
      <c r="AY51" s="110"/>
      <c r="AZ51" s="110"/>
    </row>
    <row r="52" spans="4:52" ht="15" thickBot="1" x14ac:dyDescent="0.25">
      <c r="D52" s="165"/>
      <c r="E52" s="165"/>
      <c r="F52" s="165"/>
      <c r="G52" s="165"/>
      <c r="H52" s="165"/>
      <c r="I52" s="165"/>
      <c r="J52" s="165"/>
      <c r="K52" s="165"/>
      <c r="L52" s="165"/>
      <c r="M52" s="165"/>
      <c r="O52" s="165"/>
      <c r="P52" s="165"/>
      <c r="Q52" s="165"/>
      <c r="S52" s="167" t="str">
        <f>+IFERROR(VLOOKUP(O52,$O$207:$S$211,3,FALSE)*VLOOKUP(R52,$R$207:$S$211,3,FALSE),"")</f>
        <v/>
      </c>
      <c r="AC52" s="167"/>
      <c r="AD52" s="206"/>
      <c r="AF52" s="206"/>
      <c r="AG52" s="206"/>
      <c r="AH52" s="207"/>
      <c r="AI52" s="207"/>
      <c r="AJ52" s="207"/>
      <c r="AK52" s="207"/>
      <c r="AL52" s="207"/>
      <c r="AM52" s="114"/>
      <c r="AN52" s="114"/>
      <c r="AO52" s="207"/>
      <c r="AP52" s="208"/>
      <c r="AU52" s="207"/>
      <c r="AW52" s="207"/>
      <c r="AY52" s="207"/>
    </row>
    <row r="53" spans="4:52" ht="17.45" customHeight="1" thickTop="1" thickBot="1" x14ac:dyDescent="0.25">
      <c r="D53" s="483" t="s">
        <v>205</v>
      </c>
      <c r="E53" s="483"/>
      <c r="F53" s="483"/>
      <c r="G53" s="483"/>
      <c r="H53" s="483"/>
      <c r="I53" s="483"/>
      <c r="J53" s="483"/>
      <c r="K53" s="483"/>
      <c r="L53" s="483"/>
      <c r="M53" s="483"/>
      <c r="N53" s="164" t="s">
        <v>206</v>
      </c>
      <c r="O53" s="483" t="s">
        <v>207</v>
      </c>
      <c r="P53" s="483"/>
      <c r="Q53" s="483"/>
      <c r="R53" s="483"/>
      <c r="S53" s="483"/>
      <c r="T53" s="483"/>
      <c r="U53" s="483"/>
      <c r="V53" s="118"/>
      <c r="W53" s="484" t="s">
        <v>208</v>
      </c>
      <c r="X53" s="484"/>
      <c r="Y53" s="484"/>
      <c r="Z53" s="483" t="s">
        <v>209</v>
      </c>
      <c r="AA53" s="483"/>
      <c r="AB53" s="483"/>
      <c r="AC53" s="483"/>
      <c r="AD53" s="484">
        <v>1</v>
      </c>
      <c r="AE53" s="484"/>
      <c r="AF53" s="484"/>
      <c r="AG53" s="484"/>
      <c r="AH53" s="117"/>
      <c r="AI53" s="117"/>
      <c r="AJ53" s="117"/>
      <c r="AK53" s="117"/>
      <c r="AL53" s="117"/>
      <c r="AM53" s="117"/>
      <c r="AN53" s="117"/>
      <c r="AO53" s="117"/>
      <c r="AP53" s="117"/>
      <c r="AQ53" s="117"/>
      <c r="AR53" s="117"/>
      <c r="AS53" s="117"/>
      <c r="AT53" s="117"/>
      <c r="AU53" s="117"/>
      <c r="AV53" s="117"/>
      <c r="AW53" s="117"/>
      <c r="AX53" s="117"/>
      <c r="AY53" s="117"/>
      <c r="AZ53" s="115"/>
    </row>
    <row r="54" spans="4:52" ht="36.75" customHeight="1" thickTop="1" x14ac:dyDescent="0.25">
      <c r="D54" s="485" t="s">
        <v>385</v>
      </c>
      <c r="E54" s="486"/>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row>
  </sheetData>
  <autoFilter ref="A11:BE48" xr:uid="{00000000-0001-0000-0100-000000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50" showButton="0"/>
    <filterColumn colId="51" showButton="0"/>
    <filterColumn colId="52" showButton="0"/>
    <filterColumn colId="54" showButton="0"/>
    <filterColumn colId="55" showButton="0"/>
  </autoFilter>
  <dataConsolidate/>
  <mergeCells count="229">
    <mergeCell ref="D7:G7"/>
    <mergeCell ref="H7:BE7"/>
    <mergeCell ref="D8:G8"/>
    <mergeCell ref="H8:BE8"/>
    <mergeCell ref="D9:G9"/>
    <mergeCell ref="H9:BE9"/>
    <mergeCell ref="D2:H5"/>
    <mergeCell ref="K2:BC5"/>
    <mergeCell ref="BD2:BE2"/>
    <mergeCell ref="BD3:BE3"/>
    <mergeCell ref="BD4:BE4"/>
    <mergeCell ref="BD5:BE5"/>
    <mergeCell ref="AU15:AU18"/>
    <mergeCell ref="A11:C11"/>
    <mergeCell ref="D11:AX11"/>
    <mergeCell ref="AY11:BB11"/>
    <mergeCell ref="BC11:BE11"/>
    <mergeCell ref="D12:R12"/>
    <mergeCell ref="S12:Y12"/>
    <mergeCell ref="Z12:AI12"/>
    <mergeCell ref="AJ12:AJ14"/>
    <mergeCell ref="AK12:AQ12"/>
    <mergeCell ref="AS12:BE12"/>
    <mergeCell ref="R13:R14"/>
    <mergeCell ref="S13:S14"/>
    <mergeCell ref="T13:T14"/>
    <mergeCell ref="D13:D14"/>
    <mergeCell ref="E13:E14"/>
    <mergeCell ref="H13:H14"/>
    <mergeCell ref="I13:J13"/>
    <mergeCell ref="K13:K14"/>
    <mergeCell ref="M13:M14"/>
    <mergeCell ref="BE13:BE14"/>
    <mergeCell ref="AT13:AT14"/>
    <mergeCell ref="AU13:AU14"/>
    <mergeCell ref="AV13:AV14"/>
    <mergeCell ref="BD13:BD14"/>
    <mergeCell ref="AA13:AA14"/>
    <mergeCell ref="AB13:AB14"/>
    <mergeCell ref="AC13:AC14"/>
    <mergeCell ref="AD13:AI13"/>
    <mergeCell ref="AK13:AK14"/>
    <mergeCell ref="AL13:AL14"/>
    <mergeCell ref="AX13:AX14"/>
    <mergeCell ref="AY13:AY14"/>
    <mergeCell ref="AM13:AM14"/>
    <mergeCell ref="AN13:AN14"/>
    <mergeCell ref="AO13:AO14"/>
    <mergeCell ref="AP13:AP14"/>
    <mergeCell ref="AQ13:AQ14"/>
    <mergeCell ref="AS13:AS14"/>
    <mergeCell ref="AW13:AW14"/>
    <mergeCell ref="J21:J22"/>
    <mergeCell ref="T15:T18"/>
    <mergeCell ref="U15:U18"/>
    <mergeCell ref="D15:D18"/>
    <mergeCell ref="E15:E18"/>
    <mergeCell ref="AZ13:AZ14"/>
    <mergeCell ref="BA13:BA14"/>
    <mergeCell ref="BB13:BB14"/>
    <mergeCell ref="BC13:BC14"/>
    <mergeCell ref="F15:F18"/>
    <mergeCell ref="G15:G18"/>
    <mergeCell ref="H15:H18"/>
    <mergeCell ref="J15:J18"/>
    <mergeCell ref="U13:U14"/>
    <mergeCell ref="V13:V14"/>
    <mergeCell ref="W13:W14"/>
    <mergeCell ref="X13:X14"/>
    <mergeCell ref="Y13:Y14"/>
    <mergeCell ref="Z13:Z14"/>
    <mergeCell ref="N13:N14"/>
    <mergeCell ref="O13:O14"/>
    <mergeCell ref="P13:Q13"/>
    <mergeCell ref="AR15:AR18"/>
    <mergeCell ref="AT15:AT18"/>
    <mergeCell ref="V15:V18"/>
    <mergeCell ref="W15:W18"/>
    <mergeCell ref="X15:X18"/>
    <mergeCell ref="Y15:Y18"/>
    <mergeCell ref="N15:N18"/>
    <mergeCell ref="O15:O18"/>
    <mergeCell ref="P15:P18"/>
    <mergeCell ref="Q15:Q18"/>
    <mergeCell ref="R15:R18"/>
    <mergeCell ref="S15:S18"/>
    <mergeCell ref="AT21:AT22"/>
    <mergeCell ref="K48:AX48"/>
    <mergeCell ref="D51:N51"/>
    <mergeCell ref="R51:U51"/>
    <mergeCell ref="T21:T22"/>
    <mergeCell ref="U21:U22"/>
    <mergeCell ref="V21:V22"/>
    <mergeCell ref="W21:W22"/>
    <mergeCell ref="X21:X22"/>
    <mergeCell ref="Y21:Y22"/>
    <mergeCell ref="N21:N22"/>
    <mergeCell ref="O21:O22"/>
    <mergeCell ref="P21:P22"/>
    <mergeCell ref="Q21:Q22"/>
    <mergeCell ref="R21:R22"/>
    <mergeCell ref="S21:S22"/>
    <mergeCell ref="O25:O27"/>
    <mergeCell ref="E25:E27"/>
    <mergeCell ref="F25:F27"/>
    <mergeCell ref="G25:G27"/>
    <mergeCell ref="K25:K27"/>
    <mergeCell ref="M25:M27"/>
    <mergeCell ref="D21:D22"/>
    <mergeCell ref="E21:E22"/>
    <mergeCell ref="Z53:AC53"/>
    <mergeCell ref="AD53:AG53"/>
    <mergeCell ref="D54:AG54"/>
    <mergeCell ref="AB21:AB22"/>
    <mergeCell ref="AR21:AR22"/>
    <mergeCell ref="V25:V27"/>
    <mergeCell ref="W25:W27"/>
    <mergeCell ref="X25:X27"/>
    <mergeCell ref="Y25:Y27"/>
    <mergeCell ref="D28:D29"/>
    <mergeCell ref="E28:E29"/>
    <mergeCell ref="F28:F29"/>
    <mergeCell ref="G28:G29"/>
    <mergeCell ref="P25:P27"/>
    <mergeCell ref="Q25:Q27"/>
    <mergeCell ref="R25:R27"/>
    <mergeCell ref="S25:S27"/>
    <mergeCell ref="T25:T27"/>
    <mergeCell ref="U25:U27"/>
    <mergeCell ref="D25:D27"/>
    <mergeCell ref="F21:F22"/>
    <mergeCell ref="G21:G22"/>
    <mergeCell ref="H21:H22"/>
    <mergeCell ref="I21:I22"/>
    <mergeCell ref="X28:X29"/>
    <mergeCell ref="Y28:Y29"/>
    <mergeCell ref="R28:R29"/>
    <mergeCell ref="S28:S29"/>
    <mergeCell ref="T28:T29"/>
    <mergeCell ref="U28:U29"/>
    <mergeCell ref="V28:V29"/>
    <mergeCell ref="W28:W29"/>
    <mergeCell ref="D53:M53"/>
    <mergeCell ref="O53:U53"/>
    <mergeCell ref="W53:Y53"/>
    <mergeCell ref="D39:D40"/>
    <mergeCell ref="E39:E40"/>
    <mergeCell ref="F39:F40"/>
    <mergeCell ref="G39:G40"/>
    <mergeCell ref="H39:H40"/>
    <mergeCell ref="I35:I36"/>
    <mergeCell ref="I37:I38"/>
    <mergeCell ref="I39:I40"/>
    <mergeCell ref="J35:J36"/>
    <mergeCell ref="J37:J38"/>
    <mergeCell ref="J39:J40"/>
    <mergeCell ref="W35:W36"/>
    <mergeCell ref="X35:X36"/>
    <mergeCell ref="J25:J27"/>
    <mergeCell ref="J28:J29"/>
    <mergeCell ref="K28:K29"/>
    <mergeCell ref="M28:M29"/>
    <mergeCell ref="N28:N29"/>
    <mergeCell ref="O28:O29"/>
    <mergeCell ref="P28:P29"/>
    <mergeCell ref="Q28:Q29"/>
    <mergeCell ref="D31:D34"/>
    <mergeCell ref="E31:E34"/>
    <mergeCell ref="F31:F34"/>
    <mergeCell ref="G31:G34"/>
    <mergeCell ref="N25:N27"/>
    <mergeCell ref="AS25:AS27"/>
    <mergeCell ref="N31:N34"/>
    <mergeCell ref="O31:O34"/>
    <mergeCell ref="D35:D36"/>
    <mergeCell ref="E35:E36"/>
    <mergeCell ref="F35:F36"/>
    <mergeCell ref="G35:G36"/>
    <mergeCell ref="H35:H36"/>
    <mergeCell ref="D37:D38"/>
    <mergeCell ref="E37:E38"/>
    <mergeCell ref="F37:F38"/>
    <mergeCell ref="G37:G38"/>
    <mergeCell ref="H37:H38"/>
    <mergeCell ref="N35:N36"/>
    <mergeCell ref="N37:N38"/>
    <mergeCell ref="U35:U36"/>
    <mergeCell ref="V35:V36"/>
    <mergeCell ref="U37:U38"/>
    <mergeCell ref="V37:V38"/>
    <mergeCell ref="S35:S36"/>
    <mergeCell ref="T35:T36"/>
    <mergeCell ref="S37:S38"/>
    <mergeCell ref="I25:I27"/>
    <mergeCell ref="I28:I29"/>
    <mergeCell ref="T37:T38"/>
    <mergeCell ref="W37:W38"/>
    <mergeCell ref="X37:X38"/>
    <mergeCell ref="Y37:Y38"/>
    <mergeCell ref="S39:S40"/>
    <mergeCell ref="T39:T40"/>
    <mergeCell ref="W39:W40"/>
    <mergeCell ref="Y39:Y40"/>
    <mergeCell ref="X39:X40"/>
    <mergeCell ref="U39:U40"/>
    <mergeCell ref="V39:V40"/>
    <mergeCell ref="N39:N40"/>
    <mergeCell ref="O35:O36"/>
    <mergeCell ref="P35:P36"/>
    <mergeCell ref="Q35:Q36"/>
    <mergeCell ref="R35:R36"/>
    <mergeCell ref="O37:O38"/>
    <mergeCell ref="P37:P38"/>
    <mergeCell ref="Q37:Q38"/>
    <mergeCell ref="R37:R38"/>
    <mergeCell ref="O39:O40"/>
    <mergeCell ref="P39:P40"/>
    <mergeCell ref="Q39:Q40"/>
    <mergeCell ref="R39:R40"/>
    <mergeCell ref="Y35:Y36"/>
    <mergeCell ref="AR35:AR36"/>
    <mergeCell ref="AS35:AS36"/>
    <mergeCell ref="AT35:AT36"/>
    <mergeCell ref="AR37:AR38"/>
    <mergeCell ref="AS37:AS38"/>
    <mergeCell ref="AT37:AT38"/>
    <mergeCell ref="AR39:AR40"/>
    <mergeCell ref="AS39:AS40"/>
    <mergeCell ref="AT39:AT40"/>
  </mergeCells>
  <conditionalFormatting sqref="S15 S19:S21">
    <cfRule type="cellIs" dxfId="267" priority="160" operator="equal">
      <formula>"Baja"</formula>
    </cfRule>
    <cfRule type="cellIs" dxfId="266" priority="159" operator="equal">
      <formula>"Media"</formula>
    </cfRule>
    <cfRule type="cellIs" dxfId="265" priority="158" operator="equal">
      <formula>"Alta"</formula>
    </cfRule>
    <cfRule type="cellIs" dxfId="264" priority="157" operator="equal">
      <formula>"Muy Alta"</formula>
    </cfRule>
    <cfRule type="cellIs" dxfId="263" priority="161" operator="equal">
      <formula>"Muy Baja"</formula>
    </cfRule>
  </conditionalFormatting>
  <conditionalFormatting sqref="V15 V19:V21">
    <cfRule type="containsText" dxfId="262" priority="147" operator="containsText" text="❌">
      <formula>NOT(ISERROR(SEARCH("❌",V15)))</formula>
    </cfRule>
  </conditionalFormatting>
  <conditionalFormatting sqref="V23:V25 V28">
    <cfRule type="containsText" dxfId="261" priority="9" operator="containsText" text="❌">
      <formula>NOT(ISERROR(SEARCH("❌",V23)))</formula>
    </cfRule>
  </conditionalFormatting>
  <conditionalFormatting sqref="V30:V35 V37 V39">
    <cfRule type="containsText" dxfId="260" priority="7" operator="containsText" text="❌">
      <formula>NOT(ISERROR(SEARCH("❌",V30)))</formula>
    </cfRule>
  </conditionalFormatting>
  <conditionalFormatting sqref="V41:V47">
    <cfRule type="containsText" dxfId="259" priority="5" operator="containsText" text="❌">
      <formula>NOT(ISERROR(SEARCH("❌",V41)))</formula>
    </cfRule>
  </conditionalFormatting>
  <conditionalFormatting sqref="W15 W19:W21">
    <cfRule type="cellIs" dxfId="258" priority="141" operator="equal">
      <formula>"Leve"</formula>
    </cfRule>
    <cfRule type="cellIs" dxfId="257" priority="140" operator="equal">
      <formula>"Menor"</formula>
    </cfRule>
    <cfRule type="cellIs" dxfId="256" priority="138" operator="equal">
      <formula>"Mayor"</formula>
    </cfRule>
    <cfRule type="cellIs" dxfId="255" priority="137" operator="equal">
      <formula>"Catastrófico"</formula>
    </cfRule>
    <cfRule type="cellIs" dxfId="254" priority="139" operator="equal">
      <formula>"Moderado"</formula>
    </cfRule>
  </conditionalFormatting>
  <conditionalFormatting sqref="W23:W25 W28 W30:W35 W37 W39 W41:W47">
    <cfRule type="cellIs" dxfId="253" priority="42" operator="equal">
      <formula>"Menor"</formula>
    </cfRule>
    <cfRule type="cellIs" dxfId="252" priority="39" operator="equal">
      <formula>"Catastrófico"</formula>
    </cfRule>
    <cfRule type="cellIs" dxfId="251" priority="40" operator="equal">
      <formula>"Mayor"</formula>
    </cfRule>
    <cfRule type="cellIs" dxfId="250" priority="41" operator="equal">
      <formula>"Moderado"</formula>
    </cfRule>
    <cfRule type="cellIs" dxfId="249" priority="43" operator="equal">
      <formula>"Leve"</formula>
    </cfRule>
  </conditionalFormatting>
  <conditionalFormatting sqref="Y15 Y19:Y21">
    <cfRule type="cellIs" dxfId="248" priority="156" operator="equal">
      <formula>"Bajo"</formula>
    </cfRule>
    <cfRule type="cellIs" dxfId="247" priority="153" operator="equal">
      <formula>"Extremo"</formula>
    </cfRule>
    <cfRule type="cellIs" dxfId="246" priority="154" operator="equal">
      <formula>"Alto"</formula>
    </cfRule>
    <cfRule type="cellIs" dxfId="245" priority="155" operator="equal">
      <formula>"Moderado"</formula>
    </cfRule>
  </conditionalFormatting>
  <conditionalFormatting sqref="Z43">
    <cfRule type="cellIs" dxfId="244" priority="2" operator="equal">
      <formula>"Alto"</formula>
    </cfRule>
    <cfRule type="cellIs" dxfId="243" priority="3" operator="equal">
      <formula>"Moderado"</formula>
    </cfRule>
    <cfRule type="cellIs" dxfId="242" priority="4" operator="equal">
      <formula>"Bajo"</formula>
    </cfRule>
    <cfRule type="cellIs" dxfId="241" priority="1" operator="equal">
      <formula>"Extremo"</formula>
    </cfRule>
  </conditionalFormatting>
  <conditionalFormatting sqref="AL15:AL47 S23:S25 S28 S30:S35 S37 S39 S41:S47">
    <cfRule type="cellIs" dxfId="240" priority="54" operator="equal">
      <formula>"Muy Alta"</formula>
    </cfRule>
    <cfRule type="cellIs" dxfId="239" priority="57" operator="equal">
      <formula>"Baja"</formula>
    </cfRule>
    <cfRule type="cellIs" dxfId="238" priority="58" operator="equal">
      <formula>"Muy Baja"</formula>
    </cfRule>
    <cfRule type="cellIs" dxfId="237" priority="55" operator="equal">
      <formula>"Alta"</formula>
    </cfRule>
    <cfRule type="cellIs" dxfId="236" priority="56" operator="equal">
      <formula>"Media"</formula>
    </cfRule>
  </conditionalFormatting>
  <conditionalFormatting sqref="AM50:AM52">
    <cfRule type="cellIs" dxfId="235" priority="143" operator="equal">
      <formula>#REF!</formula>
    </cfRule>
    <cfRule type="cellIs" dxfId="234" priority="144" operator="equal">
      <formula>#REF!</formula>
    </cfRule>
  </conditionalFormatting>
  <conditionalFormatting sqref="AM50:AN52">
    <cfRule type="cellIs" dxfId="233" priority="142" stopIfTrue="1" operator="equal">
      <formula>#REF!</formula>
    </cfRule>
  </conditionalFormatting>
  <conditionalFormatting sqref="AN15:AN47">
    <cfRule type="cellIs" dxfId="232" priority="49" operator="equal">
      <formula>"Leve"</formula>
    </cfRule>
    <cfRule type="cellIs" dxfId="231" priority="48" operator="equal">
      <formula>"Menor"</formula>
    </cfRule>
    <cfRule type="cellIs" dxfId="230" priority="47" operator="equal">
      <formula>"Moderado"</formula>
    </cfRule>
    <cfRule type="cellIs" dxfId="229" priority="46" operator="equal">
      <formula>"Mayor"</formula>
    </cfRule>
    <cfRule type="cellIs" dxfId="228" priority="45" operator="equal">
      <formula>"Catastrófico"</formula>
    </cfRule>
  </conditionalFormatting>
  <conditionalFormatting sqref="AN50:AN52">
    <cfRule type="cellIs" dxfId="227" priority="145" stopIfTrue="1" operator="equal">
      <formula>#REF!</formula>
    </cfRule>
    <cfRule type="cellIs" dxfId="226" priority="146" stopIfTrue="1" operator="equal">
      <formula>#REF!</formula>
    </cfRule>
  </conditionalFormatting>
  <conditionalFormatting sqref="AP15:AP47 Y23:Y25 Y28 Y30:Y35 Y37 Y39 Y41:Y47">
    <cfRule type="cellIs" dxfId="225" priority="51" operator="equal">
      <formula>"Alto"</formula>
    </cfRule>
    <cfRule type="cellIs" dxfId="224" priority="53" operator="equal">
      <formula>"Bajo"</formula>
    </cfRule>
    <cfRule type="cellIs" dxfId="223" priority="52" operator="equal">
      <formula>"Moderado"</formula>
    </cfRule>
    <cfRule type="cellIs" dxfId="222" priority="50" operator="equal">
      <formula>"Extremo"</formula>
    </cfRule>
  </conditionalFormatting>
  <dataValidations count="6">
    <dataValidation type="list" allowBlank="1" showInputMessage="1" showErrorMessage="1" sqref="N50" xr:uid="{B9FC483B-E4A2-4D6D-8249-4E4928DAEB5F}">
      <formula1>$N$207:$N$216</formula1>
    </dataValidation>
    <dataValidation type="list" allowBlank="1" showInputMessage="1" showErrorMessage="1" sqref="N52 AM52:AN52" xr:uid="{584849AC-8D16-4667-A50C-F7976982881C}">
      <formula1>#REF!</formula1>
    </dataValidation>
    <dataValidation type="list" allowBlank="1" showInputMessage="1" showErrorMessage="1" sqref="AC52" xr:uid="{240A9384-0BAA-489D-9B4A-36B15E7F4C82}">
      <formula1>$U$207:$U$208</formula1>
    </dataValidation>
    <dataValidation type="list" allowBlank="1" showInputMessage="1" showErrorMessage="1" sqref="R52" xr:uid="{B889E5A3-193A-4E69-AA8E-34411CF57C4C}">
      <formula1>$R$207:$R$211</formula1>
    </dataValidation>
    <dataValidation type="list" allowBlank="1" showInputMessage="1" showErrorMessage="1" sqref="O52:Q52" xr:uid="{4498F4D2-76E7-48BC-B958-2B33A362391D}">
      <formula1>$O$207:$O$211</formula1>
    </dataValidation>
    <dataValidation type="list" allowBlank="1" showInputMessage="1" showErrorMessage="1" sqref="AY52 AF52:AL52 AD52 AU52 AW52" xr:uid="{DA4F8461-6DB4-4E1A-AFE9-1829C6A2F2BA}">
      <formula1>$AU$207:$AU$214</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2">
        <x14:dataValidation type="list" allowBlank="1" showInputMessage="1" showErrorMessage="1" xr:uid="{58AB20D0-73FD-46E6-B5DC-72E47A013C95}">
          <x14:formula1>
            <xm:f>LISTA!$E$3:$E$23</xm:f>
          </x14:formula1>
          <xm:sqref>G35 G37 G39 G41:G47</xm:sqref>
        </x14:dataValidation>
        <x14:dataValidation type="list" allowBlank="1" showInputMessage="1" showErrorMessage="1" xr:uid="{6B4889EF-6568-4233-8D3D-01BBD466B3EA}">
          <x14:formula1>
            <xm:f>LISTA!$D$3:$D$21</xm:f>
          </x14:formula1>
          <xm:sqref>F35 F37 F39 F41:F47</xm:sqref>
        </x14:dataValidation>
        <x14:dataValidation type="list" allowBlank="1" showInputMessage="1" showErrorMessage="1" xr:uid="{C9FEA96B-B187-4740-9F18-B44E90E1048E}">
          <x14:formula1>
            <xm:f>LISTA!$B$3:$B$18</xm:f>
          </x14:formula1>
          <xm:sqref>E19:E22 E35:E36</xm:sqref>
        </x14:dataValidation>
        <x14:dataValidation type="list" allowBlank="1" showInputMessage="1" showErrorMessage="1" xr:uid="{8FA6B03C-9584-4208-8F2B-71C145819FF9}">
          <x14:formula1>
            <xm:f>Listas!$B$2:$B$7</xm:f>
          </x14:formula1>
          <xm:sqref>H35 H37 H39 H41:H47</xm:sqref>
        </x14:dataValidation>
        <x14:dataValidation type="list" allowBlank="1" showInputMessage="1" showErrorMessage="1" xr:uid="{F147F001-7540-46F9-BA80-77EE9BD1D225}">
          <x14:formula1>
            <xm:f>LISTA!$B$3:$B$19</xm:f>
          </x14:formula1>
          <xm:sqref>E23:E29 E15:E18 E41:E47</xm:sqref>
        </x14:dataValidation>
        <x14:dataValidation type="list" allowBlank="1" showInputMessage="1" showErrorMessage="1" xr:uid="{6BA3F6AC-ECDB-4D44-803C-A4C68F7E22EF}">
          <x14:formula1>
            <xm:f>Listas!$D$2:$D$5</xm:f>
          </x14:formula1>
          <xm:sqref>Q35 Q37 Q39 Q41:Q44</xm:sqref>
        </x14:dataValidation>
        <x14:dataValidation type="list" allowBlank="1" showInputMessage="1" showErrorMessage="1" xr:uid="{168884DE-55C4-4889-AE38-0ACD90D18ACF}">
          <x14:formula1>
            <xm:f>Listas!$C$2:$C$6</xm:f>
          </x14:formula1>
          <xm:sqref>P35 P37 P39</xm:sqref>
        </x14:dataValidation>
        <x14:dataValidation type="list" allowBlank="1" showInputMessage="1" showErrorMessage="1" xr:uid="{46BEA922-A17F-4AD0-A692-79DEAC0A161E}">
          <x14:formula1>
            <xm:f>'Opciones Tratamiento'!$B$13:$B$19</xm:f>
          </x14:formula1>
          <xm:sqref>O35 O37 O39 O41:O45</xm:sqref>
        </x14:dataValidation>
        <x14:dataValidation type="list" allowBlank="1" showInputMessage="1" showErrorMessage="1" xr:uid="{C122F4A6-2144-49A4-96AD-2A07AC344CCF}">
          <x14:formula1>
            <xm:f>'Tabla Impacto'!$F$210:$F$221</xm:f>
          </x14:formula1>
          <xm:sqref>U35 U37 U39 U41</xm:sqref>
        </x14:dataValidation>
        <x14:dataValidation type="list" allowBlank="1" showInputMessage="1" showErrorMessage="1" xr:uid="{A2286AE4-3B4A-4717-8900-A916E6D38775}">
          <x14:formula1>
            <xm:f>'Tabla Valoración controles'!$D$13:$D$14</xm:f>
          </x14:formula1>
          <xm:sqref>AI35:AI41</xm:sqref>
        </x14:dataValidation>
        <x14:dataValidation type="list" allowBlank="1" showInputMessage="1" showErrorMessage="1" xr:uid="{7771935B-7BC8-46DD-A331-67A391243DF5}">
          <x14:formula1>
            <xm:f>'Tabla Valoración controles'!$D$11:$D$12</xm:f>
          </x14:formula1>
          <xm:sqref>AH35:AH41</xm:sqref>
        </x14:dataValidation>
        <x14:dataValidation type="list" allowBlank="1" showInputMessage="1" showErrorMessage="1" xr:uid="{E11EF48A-4D57-4DF5-AFC0-01CAFE0FF584}">
          <x14:formula1>
            <xm:f>'Tabla Valoración controles'!$D$9:$D$10</xm:f>
          </x14:formula1>
          <xm:sqref>AG35:AG41</xm:sqref>
        </x14:dataValidation>
        <x14:dataValidation type="list" allowBlank="1" showInputMessage="1" showErrorMessage="1" xr:uid="{0CCFD339-A8D5-43C2-8032-4D33E3089C0C}">
          <x14:formula1>
            <xm:f>'Tabla Valoración controles'!$D$7:$D$8</xm:f>
          </x14:formula1>
          <xm:sqref>AE35:AE41</xm:sqref>
        </x14:dataValidation>
        <x14:dataValidation type="list" allowBlank="1" showInputMessage="1" showErrorMessage="1" xr:uid="{553EE9A0-DEA9-4978-A482-B2993BD872A3}">
          <x14:formula1>
            <xm:f>'Tabla Valoración controles'!$D$4:$D$6</xm:f>
          </x14:formula1>
          <xm:sqref>AD35:AD41</xm:sqref>
        </x14:dataValidation>
        <x14:dataValidation type="custom" allowBlank="1" showInputMessage="1" showErrorMessage="1" error="Recuerde que las acciones se generan bajo la medida de mitigar el riesgo" xr:uid="{59A54694-BA57-494C-986B-8E9627DBC622}">
          <x14:formula1>
            <xm:f>IF(OR(AR37='https://itceduco-my.sharepoint.com/personal/calidad_itc_edu_co/Documents/GESTIÓN PARA LA ALINEACION DE PROCESOS. MAPA V9/Sistemas Integrados de Aseguramiento  ITC 2025/SEGURIDAD DE LA INFORMACIÓN/[mapaderiesgocalidad24 (1).xlsx]Opciones Tratamiento'!#REF!,AR37='https://itceduco-my.sharepoint.com/personal/calidad_itc_edu_co/Documents/GESTIÓN PARA LA ALINEACION DE PROCESOS. MAPA V9/Sistemas Integrados de Aseguramiento  ITC 2025/SEGURIDAD DE LA INFORMACIÓN/[mapaderiesgocalidad24 (1).xlsx]Opciones Tratamiento'!#REF!,AR37='https://itceduco-my.sharepoint.com/personal/calidad_itc_edu_co/Documents/GESTIÓN PARA LA ALINEACION DE PROCESOS. MAPA V9/Sistemas Integrados de Aseguramiento  ITC 2025/SEGURIDAD DE LA INFORMACIÓN/[mapaderiesgocalidad24 (1).xlsx]Opciones Tratamiento'!#REF!),ISBLANK(AR37),ISTEXT(AR37))</xm:f>
          </x14:formula1>
          <xm:sqref>AS37</xm:sqref>
        </x14:dataValidation>
        <x14:dataValidation type="custom" allowBlank="1" showInputMessage="1" showErrorMessage="1" error="Recuerde que las acciones se generan bajo la medida de mitigar el riesgo" xr:uid="{6BDBF2D1-23B9-4ED4-ACDF-A972898E4BF4}">
          <x14:formula1>
            <xm:f>IF(OR(AQ39='https://itceduco-my.sharepoint.com/personal/calidad_itc_edu_co/Documents/GESTIÓN PARA LA ALINEACION DE PROCESOS. MAPA V9/Sistemas Integrados de Aseguramiento  ITC 2025/SEGURIDAD DE LA INFORMACIÓN/[mapaderiesgocalidad24 (1).xlsx]Opciones Tratamiento'!#REF!,AQ39='https://itceduco-my.sharepoint.com/personal/calidad_itc_edu_co/Documents/GESTIÓN PARA LA ALINEACION DE PROCESOS. MAPA V9/Sistemas Integrados de Aseguramiento  ITC 2025/SEGURIDAD DE LA INFORMACIÓN/[mapaderiesgocalidad24 (1).xlsx]Opciones Tratamiento'!#REF!,AQ39='https://itceduco-my.sharepoint.com/personal/calidad_itc_edu_co/Documents/GESTIÓN PARA LA ALINEACION DE PROCESOS. MAPA V9/Sistemas Integrados de Aseguramiento  ITC 2025/SEGURIDAD DE LA INFORMACIÓN/[mapaderiesgocalidad24 (1).xlsx]Opciones Tratamiento'!#REF!),ISBLANK(AQ39),ISTEXT(AQ39))</xm:f>
          </x14:formula1>
          <xm:sqref>AS39</xm:sqref>
        </x14:dataValidation>
        <x14:dataValidation type="custom" allowBlank="1" showInputMessage="1" showErrorMessage="1" error="Recuerde que las acciones se generan bajo la medida de mitigar el riesgo" xr:uid="{F1683A7B-9DAE-4B61-AC5C-4A9DC127A6CD}">
          <x14:formula1>
            <xm:f>IF(OR(AQ35='Opciones Tratamiento'!$B$2,AQ35='Opciones Tratamiento'!$B$3,AQ35='Opciones Tratamiento'!$B$4),ISBLANK(AQ35),ISTEXT(AQ35))</xm:f>
          </x14:formula1>
          <xm:sqref>AS35 AS41</xm:sqref>
        </x14:dataValidation>
        <x14:dataValidation type="list" allowBlank="1" showInputMessage="1" showErrorMessage="1" xr:uid="{F64221BC-3AC1-4FFA-BED0-FBB92EADEFF6}">
          <x14:formula1>
            <xm:f>LISTA!$B$3:$B$15</xm:f>
          </x14:formula1>
          <xm:sqref>E30</xm:sqref>
        </x14:dataValidation>
        <x14:dataValidation type="list" allowBlank="1" showInputMessage="1" showErrorMessage="1" xr:uid="{6E3072BF-EEB8-48FB-A421-061A3182B675}">
          <x14:formula1>
            <xm:f>LISTA!$B$3:$B$17</xm:f>
          </x14:formula1>
          <xm:sqref>E31:E34</xm:sqref>
        </x14:dataValidation>
        <x14:dataValidation type="list" allowBlank="1" showInputMessage="1" showErrorMessage="1" xr:uid="{B3110264-BDB7-47B8-A4C9-260C25E0F18C}">
          <x14:formula1>
            <xm:f>LISTA!$B$3:$B$16</xm:f>
          </x14:formula1>
          <xm:sqref>E37:E40</xm:sqref>
        </x14:dataValidation>
        <x14:dataValidation type="list" allowBlank="1" showInputMessage="1" showErrorMessage="1" xr:uid="{8ECC6D61-ECDF-408A-BBF6-E58FEEC7C3C6}">
          <x14:formula1>
            <xm:f>LISTA!$I$3:$I$15</xm:f>
          </x14:formula1>
          <xm:sqref>P41:P44</xm:sqref>
        </x14:dataValidation>
        <x14:dataValidation type="list" allowBlank="1" showInputMessage="1" showErrorMessage="1" xr:uid="{A0A669E3-A31D-477A-9571-2A828D255EA0}">
          <x14:formula1>
            <xm:f>LISTA!$Q$3:$Q$9</xm:f>
          </x14:formula1>
          <xm:sqref>AQ15:AQ46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2B4E2-9199-45F1-9EFD-DC10849924FF}">
  <sheetPr>
    <tabColor rgb="FF287840"/>
  </sheetPr>
  <dimension ref="A1:BH29"/>
  <sheetViews>
    <sheetView showGridLines="0" topLeftCell="A5" zoomScale="60" zoomScaleNormal="60" workbookViewId="0">
      <selection activeCell="AX23" sqref="AX23"/>
    </sheetView>
  </sheetViews>
  <sheetFormatPr baseColWidth="10" defaultColWidth="11.42578125" defaultRowHeight="14.25" x14ac:dyDescent="0.2"/>
  <cols>
    <col min="1" max="1" width="8.85546875" style="165" customWidth="1"/>
    <col min="2" max="2" width="4" style="165" customWidth="1"/>
    <col min="3" max="3" width="3.5703125" style="165" customWidth="1"/>
    <col min="4" max="4" width="6.85546875" style="166" customWidth="1"/>
    <col min="5" max="5" width="14.7109375" style="166" customWidth="1"/>
    <col min="6" max="8" width="12" style="166" customWidth="1"/>
    <col min="9" max="9" width="31" style="166" customWidth="1"/>
    <col min="10" max="10" width="16.28515625" style="166" hidden="1" customWidth="1"/>
    <col min="11" max="11" width="34" style="166" customWidth="1"/>
    <col min="12" max="12" width="62" style="165" customWidth="1"/>
    <col min="13" max="15" width="19" style="167" customWidth="1"/>
    <col min="16" max="16" width="17.7109375" style="165" customWidth="1"/>
    <col min="17" max="17" width="16.42578125" style="165" customWidth="1"/>
    <col min="18" max="18" width="6.28515625" style="165" bestFit="1" customWidth="1"/>
    <col min="19" max="19" width="27.28515625" style="165" bestFit="1" customWidth="1"/>
    <col min="20" max="20" width="17" style="165" customWidth="1"/>
    <col min="21" max="21" width="17.42578125" style="165" customWidth="1"/>
    <col min="22" max="22" width="6.28515625" style="165" bestFit="1" customWidth="1"/>
    <col min="23" max="23" width="16" style="165" customWidth="1"/>
    <col min="24" max="24" width="5.7109375" style="165" customWidth="1"/>
    <col min="25" max="25" width="69.140625" style="165" customWidth="1"/>
    <col min="26" max="26" width="47.5703125" style="165" customWidth="1"/>
    <col min="27" max="27" width="15.140625" style="165" bestFit="1" customWidth="1"/>
    <col min="28" max="28" width="6.7109375" style="165" customWidth="1"/>
    <col min="29" max="29" width="5" style="165" customWidth="1"/>
    <col min="30" max="30" width="5.42578125" style="165" customWidth="1"/>
    <col min="31" max="31" width="7.140625" style="165" customWidth="1"/>
    <col min="32" max="32" width="5.140625" style="165" customWidth="1"/>
    <col min="33" max="33" width="5.7109375" style="165" customWidth="1"/>
    <col min="34" max="34" width="16.140625" style="165" customWidth="1"/>
    <col min="35" max="35" width="13.7109375" style="165" customWidth="1"/>
    <col min="36" max="36" width="8.7109375" style="165" customWidth="1"/>
    <col min="37" max="37" width="10.42578125" style="165" customWidth="1"/>
    <col min="38" max="38" width="9.28515625" style="165" customWidth="1"/>
    <col min="39" max="39" width="9.140625" style="165" customWidth="1"/>
    <col min="40" max="40" width="8.42578125" style="165" customWidth="1"/>
    <col min="41" max="41" width="7.28515625" style="165" customWidth="1"/>
    <col min="42" max="42" width="42.140625" style="165" customWidth="1"/>
    <col min="43" max="43" width="18.7109375" style="165" customWidth="1"/>
    <col min="44" max="44" width="20.85546875" style="165" customWidth="1"/>
    <col min="45" max="45" width="14.7109375" style="165" customWidth="1"/>
    <col min="46" max="46" width="22.85546875" style="165" customWidth="1"/>
    <col min="47" max="47" width="21" style="165" customWidth="1"/>
    <col min="48" max="48" width="14.140625" style="165" customWidth="1"/>
    <col min="49" max="49" width="17.7109375" style="165" customWidth="1"/>
    <col min="50" max="51" width="20.7109375" style="165" customWidth="1"/>
    <col min="52" max="52" width="15.42578125" style="165" customWidth="1"/>
    <col min="53" max="53" width="19.5703125" style="165" customWidth="1"/>
    <col min="54" max="54" width="17.28515625" style="165" customWidth="1"/>
    <col min="55" max="60" width="11.42578125" style="165"/>
    <col min="61" max="61" width="11.140625" style="169" customWidth="1"/>
    <col min="62" max="16384" width="11.42578125" style="169"/>
  </cols>
  <sheetData>
    <row r="1" spans="1:60" ht="16.899999999999999" customHeight="1" thickBot="1" x14ac:dyDescent="0.25"/>
    <row r="2" spans="1:60" ht="19.899999999999999" customHeight="1" x14ac:dyDescent="0.2">
      <c r="D2" s="545" t="s">
        <v>299</v>
      </c>
      <c r="E2" s="546"/>
      <c r="F2" s="546"/>
      <c r="G2" s="546"/>
      <c r="H2" s="546"/>
      <c r="I2" s="553" t="s">
        <v>203</v>
      </c>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567" t="s">
        <v>323</v>
      </c>
      <c r="BB2" s="558"/>
    </row>
    <row r="3" spans="1:60" ht="19.899999999999999" customHeight="1" x14ac:dyDescent="0.2">
      <c r="D3" s="547"/>
      <c r="E3" s="548"/>
      <c r="F3" s="548"/>
      <c r="G3" s="548"/>
      <c r="H3" s="548"/>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9" t="s">
        <v>240</v>
      </c>
      <c r="BB3" s="559"/>
    </row>
    <row r="4" spans="1:60" ht="19.899999999999999" customHeight="1" x14ac:dyDescent="0.2">
      <c r="D4" s="547"/>
      <c r="E4" s="548"/>
      <c r="F4" s="548"/>
      <c r="G4" s="548"/>
      <c r="H4" s="548"/>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9" t="s">
        <v>333</v>
      </c>
      <c r="BB4" s="559"/>
    </row>
    <row r="5" spans="1:60" ht="19.899999999999999" customHeight="1" thickBot="1" x14ac:dyDescent="0.3">
      <c r="A5" s="250"/>
      <c r="D5" s="549"/>
      <c r="E5" s="550"/>
      <c r="F5" s="550"/>
      <c r="G5" s="550"/>
      <c r="H5" s="550"/>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553"/>
      <c r="AZ5" s="553"/>
      <c r="BA5" s="559" t="s">
        <v>204</v>
      </c>
      <c r="BB5" s="559"/>
    </row>
    <row r="6" spans="1:60" ht="12" customHeight="1" x14ac:dyDescent="0.25">
      <c r="D6" s="119"/>
      <c r="E6" s="120"/>
      <c r="F6" s="120"/>
      <c r="G6" s="120"/>
      <c r="H6" s="120"/>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22"/>
      <c r="BB6" s="121"/>
    </row>
    <row r="7" spans="1:60" ht="26.25" customHeight="1" x14ac:dyDescent="0.2">
      <c r="D7" s="538" t="s">
        <v>41</v>
      </c>
      <c r="E7" s="539"/>
      <c r="F7" s="539"/>
      <c r="G7" s="540"/>
      <c r="H7" s="564" t="s">
        <v>540</v>
      </c>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6"/>
      <c r="BC7" s="169"/>
      <c r="BD7" s="169"/>
      <c r="BE7" s="169"/>
      <c r="BF7" s="169"/>
      <c r="BG7" s="169"/>
      <c r="BH7" s="169"/>
    </row>
    <row r="8" spans="1:60" ht="30" customHeight="1" x14ac:dyDescent="0.2">
      <c r="D8" s="538" t="s">
        <v>128</v>
      </c>
      <c r="E8" s="539"/>
      <c r="F8" s="539"/>
      <c r="G8" s="540"/>
      <c r="H8" s="564" t="s">
        <v>541</v>
      </c>
      <c r="I8" s="565"/>
      <c r="J8" s="565"/>
      <c r="K8" s="565"/>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6"/>
      <c r="BC8" s="169"/>
      <c r="BD8" s="169"/>
      <c r="BE8" s="169"/>
      <c r="BF8" s="169"/>
      <c r="BG8" s="169"/>
      <c r="BH8" s="169"/>
    </row>
    <row r="9" spans="1:60" ht="24" customHeight="1" x14ac:dyDescent="0.2">
      <c r="D9" s="538" t="s">
        <v>42</v>
      </c>
      <c r="E9" s="539"/>
      <c r="F9" s="539"/>
      <c r="G9" s="540"/>
      <c r="H9" s="564" t="s">
        <v>542</v>
      </c>
      <c r="I9" s="565"/>
      <c r="J9" s="565"/>
      <c r="K9" s="565"/>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6"/>
      <c r="BC9" s="169"/>
      <c r="BD9" s="169"/>
      <c r="BE9" s="169"/>
      <c r="BF9" s="169"/>
      <c r="BG9" s="169"/>
      <c r="BH9" s="169"/>
    </row>
    <row r="10" spans="1:60" s="170" customFormat="1" ht="24" customHeight="1" x14ac:dyDescent="0.2">
      <c r="D10" s="171"/>
      <c r="E10" s="172"/>
      <c r="F10" s="173"/>
      <c r="G10" s="173"/>
      <c r="H10" s="171"/>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5"/>
      <c r="AW10" s="175"/>
      <c r="AX10" s="175"/>
      <c r="AY10" s="175"/>
      <c r="AZ10" s="175"/>
      <c r="BA10" s="175"/>
      <c r="BB10" s="175"/>
    </row>
    <row r="11" spans="1:60" s="170" customFormat="1" ht="24" customHeight="1" x14ac:dyDescent="0.25">
      <c r="A11" s="521" t="s">
        <v>264</v>
      </c>
      <c r="B11" s="521"/>
      <c r="C11" s="522"/>
      <c r="D11" s="523" t="s">
        <v>302</v>
      </c>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5" t="s">
        <v>300</v>
      </c>
      <c r="AW11" s="526"/>
      <c r="AX11" s="526"/>
      <c r="AY11" s="527"/>
      <c r="AZ11" s="528" t="s">
        <v>301</v>
      </c>
      <c r="BA11" s="529"/>
      <c r="BB11" s="530"/>
    </row>
    <row r="12" spans="1:60" ht="15.75" x14ac:dyDescent="0.2">
      <c r="D12" s="511" t="s">
        <v>136</v>
      </c>
      <c r="E12" s="511"/>
      <c r="F12" s="511"/>
      <c r="G12" s="511"/>
      <c r="H12" s="511"/>
      <c r="I12" s="531"/>
      <c r="J12" s="531"/>
      <c r="K12" s="531"/>
      <c r="L12" s="531"/>
      <c r="M12" s="531"/>
      <c r="N12" s="531"/>
      <c r="O12" s="531"/>
      <c r="P12" s="531"/>
      <c r="Q12" s="531" t="s">
        <v>137</v>
      </c>
      <c r="R12" s="531"/>
      <c r="S12" s="531"/>
      <c r="T12" s="531"/>
      <c r="U12" s="531"/>
      <c r="V12" s="531"/>
      <c r="W12" s="531"/>
      <c r="X12" s="531" t="s">
        <v>138</v>
      </c>
      <c r="Y12" s="531"/>
      <c r="Z12" s="531"/>
      <c r="AA12" s="531"/>
      <c r="AB12" s="531"/>
      <c r="AC12" s="531"/>
      <c r="AD12" s="531"/>
      <c r="AE12" s="531"/>
      <c r="AF12" s="531"/>
      <c r="AG12" s="531"/>
      <c r="AH12" s="532" t="s">
        <v>17</v>
      </c>
      <c r="AI12" s="531" t="s">
        <v>139</v>
      </c>
      <c r="AJ12" s="531"/>
      <c r="AK12" s="531"/>
      <c r="AL12" s="531"/>
      <c r="AM12" s="531"/>
      <c r="AN12" s="531"/>
      <c r="AO12" s="531"/>
      <c r="AP12" s="535" t="s">
        <v>33</v>
      </c>
      <c r="AQ12" s="536"/>
      <c r="AR12" s="536"/>
      <c r="AS12" s="536"/>
      <c r="AT12" s="536"/>
      <c r="AU12" s="536"/>
      <c r="AV12" s="536"/>
      <c r="AW12" s="536"/>
      <c r="AX12" s="536"/>
      <c r="AY12" s="536"/>
      <c r="AZ12" s="536"/>
      <c r="BA12" s="536"/>
      <c r="BB12" s="536"/>
      <c r="BC12" s="169"/>
      <c r="BD12" s="169"/>
      <c r="BE12" s="169"/>
      <c r="BF12" s="169"/>
      <c r="BG12" s="169"/>
      <c r="BH12" s="169"/>
    </row>
    <row r="13" spans="1:60" ht="16.5" customHeight="1" x14ac:dyDescent="0.2">
      <c r="D13" s="537" t="s">
        <v>0</v>
      </c>
      <c r="E13" s="510" t="s">
        <v>309</v>
      </c>
      <c r="F13" s="176"/>
      <c r="G13" s="176"/>
      <c r="H13" s="511" t="s">
        <v>222</v>
      </c>
      <c r="I13" s="510" t="s">
        <v>305</v>
      </c>
      <c r="J13" s="177"/>
      <c r="K13" s="510" t="s">
        <v>306</v>
      </c>
      <c r="L13" s="511" t="s">
        <v>1</v>
      </c>
      <c r="M13" s="510" t="s">
        <v>48</v>
      </c>
      <c r="N13" s="562" t="s">
        <v>369</v>
      </c>
      <c r="O13" s="563"/>
      <c r="P13" s="510" t="s">
        <v>132</v>
      </c>
      <c r="Q13" s="510" t="s">
        <v>32</v>
      </c>
      <c r="R13" s="511" t="s">
        <v>5</v>
      </c>
      <c r="S13" s="510" t="s">
        <v>85</v>
      </c>
      <c r="T13" s="510" t="s">
        <v>90</v>
      </c>
      <c r="U13" s="510" t="s">
        <v>43</v>
      </c>
      <c r="V13" s="511" t="s">
        <v>5</v>
      </c>
      <c r="W13" s="510" t="s">
        <v>46</v>
      </c>
      <c r="X13" s="512" t="s">
        <v>10</v>
      </c>
      <c r="Y13" s="510" t="s">
        <v>158</v>
      </c>
      <c r="Z13" s="510" t="s">
        <v>456</v>
      </c>
      <c r="AA13" s="510" t="s">
        <v>11</v>
      </c>
      <c r="AB13" s="510" t="s">
        <v>455</v>
      </c>
      <c r="AC13" s="510"/>
      <c r="AD13" s="510"/>
      <c r="AE13" s="510"/>
      <c r="AF13" s="510"/>
      <c r="AG13" s="510"/>
      <c r="AH13" s="533"/>
      <c r="AI13" s="512" t="s">
        <v>135</v>
      </c>
      <c r="AJ13" s="512" t="s">
        <v>44</v>
      </c>
      <c r="AK13" s="512" t="s">
        <v>5</v>
      </c>
      <c r="AL13" s="512" t="s">
        <v>45</v>
      </c>
      <c r="AM13" s="512" t="s">
        <v>5</v>
      </c>
      <c r="AN13" s="512" t="s">
        <v>47</v>
      </c>
      <c r="AO13" s="512" t="s">
        <v>28</v>
      </c>
      <c r="AP13" s="510" t="s">
        <v>33</v>
      </c>
      <c r="AQ13" s="510" t="s">
        <v>34</v>
      </c>
      <c r="AR13" s="510" t="s">
        <v>35</v>
      </c>
      <c r="AS13" s="510" t="s">
        <v>36</v>
      </c>
      <c r="AT13" s="510" t="s">
        <v>210</v>
      </c>
      <c r="AU13" s="510" t="s">
        <v>37</v>
      </c>
      <c r="AV13" s="518" t="s">
        <v>36</v>
      </c>
      <c r="AW13" s="505" t="s">
        <v>211</v>
      </c>
      <c r="AX13" s="505" t="s">
        <v>37</v>
      </c>
      <c r="AY13" s="507" t="s">
        <v>241</v>
      </c>
      <c r="AZ13" s="509" t="s">
        <v>36</v>
      </c>
      <c r="BA13" s="509" t="s">
        <v>212</v>
      </c>
      <c r="BB13" s="509" t="s">
        <v>37</v>
      </c>
      <c r="BC13" s="169"/>
      <c r="BD13" s="169"/>
      <c r="BE13" s="169"/>
      <c r="BF13" s="169"/>
      <c r="BG13" s="169"/>
      <c r="BH13" s="169"/>
    </row>
    <row r="14" spans="1:60" s="180" customFormat="1" ht="94.5" customHeight="1" x14ac:dyDescent="0.25">
      <c r="A14" s="178"/>
      <c r="B14" s="178"/>
      <c r="C14" s="178"/>
      <c r="D14" s="537"/>
      <c r="E14" s="510"/>
      <c r="F14" s="176" t="s">
        <v>2</v>
      </c>
      <c r="G14" s="177" t="s">
        <v>314</v>
      </c>
      <c r="H14" s="511"/>
      <c r="I14" s="510"/>
      <c r="J14" s="177" t="s">
        <v>451</v>
      </c>
      <c r="K14" s="510"/>
      <c r="L14" s="511"/>
      <c r="M14" s="510"/>
      <c r="N14" s="213" t="s">
        <v>238</v>
      </c>
      <c r="O14" s="213" t="s">
        <v>239</v>
      </c>
      <c r="P14" s="510"/>
      <c r="Q14" s="510"/>
      <c r="R14" s="511"/>
      <c r="S14" s="510"/>
      <c r="T14" s="510"/>
      <c r="U14" s="511"/>
      <c r="V14" s="511"/>
      <c r="W14" s="510"/>
      <c r="X14" s="512"/>
      <c r="Y14" s="510"/>
      <c r="Z14" s="510"/>
      <c r="AA14" s="510"/>
      <c r="AB14" s="179" t="s">
        <v>12</v>
      </c>
      <c r="AC14" s="179" t="s">
        <v>16</v>
      </c>
      <c r="AD14" s="179" t="s">
        <v>27</v>
      </c>
      <c r="AE14" s="179" t="s">
        <v>17</v>
      </c>
      <c r="AF14" s="179" t="s">
        <v>20</v>
      </c>
      <c r="AG14" s="179" t="s">
        <v>23</v>
      </c>
      <c r="AH14" s="534"/>
      <c r="AI14" s="512"/>
      <c r="AJ14" s="512"/>
      <c r="AK14" s="512"/>
      <c r="AL14" s="512"/>
      <c r="AM14" s="512"/>
      <c r="AN14" s="512"/>
      <c r="AO14" s="512"/>
      <c r="AP14" s="510"/>
      <c r="AQ14" s="510"/>
      <c r="AR14" s="510"/>
      <c r="AS14" s="510"/>
      <c r="AT14" s="510"/>
      <c r="AU14" s="510"/>
      <c r="AV14" s="519"/>
      <c r="AW14" s="506"/>
      <c r="AX14" s="506"/>
      <c r="AY14" s="508"/>
      <c r="AZ14" s="509"/>
      <c r="BA14" s="509"/>
      <c r="BB14" s="509"/>
    </row>
    <row r="15" spans="1:60" s="229" customFormat="1" ht="122.45" customHeight="1" x14ac:dyDescent="0.25">
      <c r="A15" s="225"/>
      <c r="B15" s="225"/>
      <c r="C15" s="225"/>
      <c r="D15" s="212" t="s">
        <v>571</v>
      </c>
      <c r="E15" s="212" t="s">
        <v>217</v>
      </c>
      <c r="F15" s="212" t="s">
        <v>131</v>
      </c>
      <c r="G15" s="212" t="s">
        <v>311</v>
      </c>
      <c r="H15" s="183" t="s">
        <v>225</v>
      </c>
      <c r="I15" s="182" t="s">
        <v>543</v>
      </c>
      <c r="J15" s="182"/>
      <c r="K15" s="182" t="s">
        <v>544</v>
      </c>
      <c r="L15" s="226" t="s">
        <v>545</v>
      </c>
      <c r="M15" s="210" t="s">
        <v>126</v>
      </c>
      <c r="N15" s="182" t="s">
        <v>232</v>
      </c>
      <c r="O15" s="182" t="s">
        <v>235</v>
      </c>
      <c r="P15" s="182">
        <v>2</v>
      </c>
      <c r="Q15" s="193" t="str">
        <f>IF(P15&lt;=0,"",IF(P15&lt;=2,"Muy Baja",IF(P15&lt;=24,"Baja",IF(P15&lt;=500,"Media",IF(P15&lt;=5000,"Alta","Muy Alta")))))</f>
        <v>Muy Baja</v>
      </c>
      <c r="R15" s="189">
        <f>IF(Q15="","",IF(Q15="Muy Baja",0.2,IF(Q15="Baja",0.4,IF(Q15="Media",0.6,IF(Q15="Alta",0.8,IF(Q15="Muy Alta",1,))))))</f>
        <v>0.2</v>
      </c>
      <c r="S15" s="194" t="s">
        <v>148</v>
      </c>
      <c r="T15" s="285" t="str">
        <f>IF(NOT(ISERROR(MATCH(S15,'[5]Tabla Impacto'!$B$221:$B$223,0))),'[5]Tabla Impacto'!$F$223&amp;"Por favor no seleccionar los criterios de impacto(Afectación Económica o presupuestal y Pérdida Reputacional)",S15)</f>
        <v xml:space="preserve">     El riesgo afecta la imagen de alguna área de la organización</v>
      </c>
      <c r="U15" s="193" t="str">
        <f>IF(OR(T15='[7]Tabla Impacto'!$C$11,T15='[7]Tabla Impacto'!$D$11),"Leve",IF(OR(T15='[7]Tabla Impacto'!$C$12,T15='[7]Tabla Impacto'!$D$12),"Menor",IF(OR(T15='[7]Tabla Impacto'!$C$13,T15='[7]Tabla Impacto'!$D$13),"Moderado",IF(OR(T15='[7]Tabla Impacto'!$C$14,T15='[7]Tabla Impacto'!$D$14),"Mayor",IF(OR(T15='[7]Tabla Impacto'!$C$15,T15='[7]Tabla Impacto'!$D$15),"Catastrófico","")))))</f>
        <v>Leve</v>
      </c>
      <c r="V15" s="189">
        <f>IF(U15="","",IF(U15="Leve",0.2,IF(U15="Menor",0.4,IF(U15="Moderado",0.6,IF(U15="Mayor",0.8,IF(U15="Catastrófico",1,))))))</f>
        <v>0.2</v>
      </c>
      <c r="W15" s="193" t="str">
        <f>IF(OR(AND(Q15="Muy Baja",U15="Leve"),AND(Q15="Muy Baja",U15="Menor"),AND(Q15="Baja",U15="Leve")),"Bajo",IF(OR(AND(Q15="Muy baja",U15="Moderado"),AND(Q15="Baja",U15="Menor"),AND(Q15="Baja",U15="Moderado"),AND(Q15="Media",U15="Leve"),AND(Q15="Media",U15="Menor"),AND(Q15="Media",U15="Moderado"),AND(Q15="Alta",U15="Leve"),AND(Q15="Alta",U15="Menor")),"Moderado",IF(OR(AND(Q15="Muy Baja",U15="Mayor"),AND(Q15="Baja",U15="Mayor"),AND(Q15="Media",U15="Mayor"),AND(Q15="Alta",U15="Moderado"),AND(Q15="Alta",U15="Mayor"),AND(Q15="Muy Alta",U15="Leve"),AND(Q15="Muy Alta",U15="Menor"),AND(Q15="Muy Alta",U15="Moderado"),AND(Q15="Muy Alta",U15="Mayor")),"Alto",IF(OR(AND(Q15="Muy Baja",U15="Catastrófico"),AND(Q15="Baja",U15="Catastrófico"),AND(Q15="Media",U15="Catastrófico"),AND(Q15="Alta",U15="Catastrófico"),AND(Q15="Muy Alta",U15="Catastrófico")),"Extremo",""))))</f>
        <v>Bajo</v>
      </c>
      <c r="X15" s="183">
        <v>1</v>
      </c>
      <c r="Y15" s="158" t="s">
        <v>546</v>
      </c>
      <c r="Z15" s="158" t="s">
        <v>547</v>
      </c>
      <c r="AA15" s="286" t="str">
        <f>IF(OR(AB15="Preventivo",AB15="Detectivo"),"Probabilidad",IF(AB15="Correctivo","Impacto",""))</f>
        <v>Probabilidad</v>
      </c>
      <c r="AB15" s="190" t="s">
        <v>13</v>
      </c>
      <c r="AC15" s="190" t="s">
        <v>8</v>
      </c>
      <c r="AD15" s="287" t="str">
        <f>IF(AND(AB15="Preventivo",AC15="Automático"),"50%",IF(AND(AB15="Preventivo",AC15="Manual"),"40%",IF(AND(AB15="Detectivo",AC15="Automático"),"40%",IF(AND(AB15="Detectivo",AC15="Manual"),"30%",IF(AND(AB15="Correctivo",AC15="Automático"),"35%",IF(AND(AB15="Correctivo",AC15="Manual"),"25%",""))))))</f>
        <v>40%</v>
      </c>
      <c r="AE15" s="190" t="s">
        <v>18</v>
      </c>
      <c r="AF15" s="190" t="s">
        <v>21</v>
      </c>
      <c r="AG15" s="190" t="s">
        <v>117</v>
      </c>
      <c r="AH15" s="255" t="s">
        <v>548</v>
      </c>
      <c r="AI15" s="188">
        <f>IFERROR(IF(AA15="Probabilidad",(R15-(+R15*AD15)),IF(AA15="Impacto",R15,"")),"")</f>
        <v>0.12</v>
      </c>
      <c r="AJ15" s="288" t="str">
        <f>IFERROR(IF(AI15="","",IF(AI15&lt;=0.2,"Muy Baja",IF(AI15&lt;=0.4,"Baja",IF(AI15&lt;=0.6,"Media",IF(AI15&lt;=0.8,"Alta","Muy Alta"))))),"")</f>
        <v>Muy Baja</v>
      </c>
      <c r="AK15" s="189">
        <f t="shared" ref="AK15:AK22" si="0">+AI15</f>
        <v>0.12</v>
      </c>
      <c r="AL15" s="288" t="str">
        <f>IFERROR(IF(AM15="","",IF(AM15&lt;=0.2,"Leve",IF(AM15&lt;=0.4,"Menor",IF(AM15&lt;=0.6,"Moderado",IF(AM15&lt;=0.8,"Mayor","Catastrófico"))))),"")</f>
        <v>Leve</v>
      </c>
      <c r="AM15" s="189">
        <f>IFERROR(IF(AA15="Impacto",(V15-(+V15*AD15)),IF(AA15="Probabilidad",V15,"")),"")</f>
        <v>0.2</v>
      </c>
      <c r="AN15" s="288" t="str">
        <f t="shared" ref="AN15:AN22" si="1">IFERROR(IF(OR(AND(AJ15="Muy Baja",AL15="Leve"),AND(AJ15="Muy Baja",AL15="Menor"),AND(AJ15="Baja",AL15="Leve")),"Bajo",IF(OR(AND(AJ15="Muy baja",AL15="Moderado"),AND(AJ15="Baja",AL15="Menor"),AND(AJ15="Baja",AL15="Moderado"),AND(AJ15="Media",AL15="Leve"),AND(AJ15="Media",AL15="Menor"),AND(AJ15="Media",AL15="Moderado"),AND(AJ15="Alta",AL15="Leve"),AND(AJ15="Alta",AL15="Menor")),"Moderado",IF(OR(AND(AJ15="Muy Baja",AL15="Mayor"),AND(AJ15="Baja",AL15="Mayor"),AND(AJ15="Media",AL15="Mayor"),AND(AJ15="Alta",AL15="Moderado"),AND(AJ15="Alta",AL15="Mayor"),AND(AJ15="Muy Alta",AL15="Leve"),AND(AJ15="Muy Alta",AL15="Menor"),AND(AJ15="Muy Alta",AL15="Moderado"),AND(AJ15="Muy Alta",AL15="Mayor")),"Alto",IF(OR(AND(AJ15="Muy Baja",AL15="Catastrófico"),AND(AJ15="Baja",AL15="Catastrófico"),AND(AJ15="Media",AL15="Catastrófico"),AND(AJ15="Alta",AL15="Catastrófico"),AND(AJ15="Muy Alta",AL15="Catastrófico")),"Extremo","")))),"")</f>
        <v>Bajo</v>
      </c>
      <c r="AO15" s="190" t="s">
        <v>133</v>
      </c>
      <c r="AP15" s="251" t="s">
        <v>549</v>
      </c>
      <c r="AQ15" s="251" t="s">
        <v>550</v>
      </c>
      <c r="AR15" s="191">
        <v>45687</v>
      </c>
      <c r="AS15" s="191">
        <v>45727</v>
      </c>
      <c r="AT15" s="182" t="s">
        <v>689</v>
      </c>
      <c r="AU15" s="182" t="s">
        <v>39</v>
      </c>
      <c r="AV15" s="191">
        <v>45922</v>
      </c>
      <c r="AW15" s="182" t="s">
        <v>720</v>
      </c>
      <c r="AX15" s="182" t="s">
        <v>39</v>
      </c>
      <c r="AY15" s="182" t="s">
        <v>721</v>
      </c>
      <c r="AZ15" s="191"/>
      <c r="BA15" s="182"/>
      <c r="BB15" s="182"/>
    </row>
    <row r="16" spans="1:60" s="229" customFormat="1" ht="150" customHeight="1" x14ac:dyDescent="0.25">
      <c r="A16" s="225"/>
      <c r="B16" s="225"/>
      <c r="C16" s="225"/>
      <c r="D16" s="212" t="s">
        <v>572</v>
      </c>
      <c r="E16" s="212" t="s">
        <v>217</v>
      </c>
      <c r="F16" s="212" t="s">
        <v>129</v>
      </c>
      <c r="G16" s="212" t="s">
        <v>311</v>
      </c>
      <c r="H16" s="183" t="s">
        <v>225</v>
      </c>
      <c r="I16" s="388" t="s">
        <v>690</v>
      </c>
      <c r="J16" s="240"/>
      <c r="K16" s="388" t="s">
        <v>691</v>
      </c>
      <c r="L16" s="389" t="s">
        <v>692</v>
      </c>
      <c r="M16" s="210" t="s">
        <v>121</v>
      </c>
      <c r="N16" s="182" t="s">
        <v>232</v>
      </c>
      <c r="O16" s="182" t="s">
        <v>235</v>
      </c>
      <c r="P16" s="182">
        <v>5000</v>
      </c>
      <c r="Q16" s="193" t="str">
        <f t="shared" ref="Q16:Q22" si="2">IF(P16&lt;=0,"",IF(P16&lt;=2,"Muy Baja",IF(P16&lt;=24,"Baja",IF(P16&lt;=500,"Media",IF(P16&lt;=5000,"Alta","Muy Alta")))))</f>
        <v>Alta</v>
      </c>
      <c r="R16" s="189">
        <f t="shared" ref="R16:R22" si="3">IF(Q16="","",IF(Q16="Muy Baja",0.2,IF(Q16="Baja",0.4,IF(Q16="Media",0.6,IF(Q16="Alta",0.8,IF(Q16="Muy Alta",1,))))))</f>
        <v>0.8</v>
      </c>
      <c r="S16" s="194" t="s">
        <v>148</v>
      </c>
      <c r="T16" s="242" t="str">
        <f>IF(NOT(ISERROR(MATCH(S16,'[5]Tabla Impacto'!$B$221:$B$223,0))),'[5]Tabla Impacto'!$F$223&amp;"Por favor no seleccionar los criterios de impacto(Afectación Económica o presupuestal y Pérdida Reputacional)",S16)</f>
        <v xml:space="preserve">     El riesgo afecta la imagen de alguna área de la organización</v>
      </c>
      <c r="U16" s="193" t="str">
        <f>IF(OR(T16='[7]Tabla Impacto'!$C$11,T16='[7]Tabla Impacto'!$D$11),"Leve",IF(OR(T16='[7]Tabla Impacto'!$C$12,T16='[7]Tabla Impacto'!$D$12),"Menor",IF(OR(T16='[7]Tabla Impacto'!$C$13,T16='[7]Tabla Impacto'!$D$13),"Moderado",IF(OR(T16='[7]Tabla Impacto'!$C$14,T16='[7]Tabla Impacto'!$D$14),"Mayor",IF(OR(T16='[7]Tabla Impacto'!$C$15,T16='[7]Tabla Impacto'!$D$15),"Catastrófico","")))))</f>
        <v>Leve</v>
      </c>
      <c r="V16" s="189">
        <f t="shared" ref="V16:V22" si="4">IF(U16="","",IF(U16="Leve",0.2,IF(U16="Menor",0.4,IF(U16="Moderado",0.6,IF(U16="Mayor",0.8,IF(U16="Catastrófico",1,))))))</f>
        <v>0.2</v>
      </c>
      <c r="W16" s="193" t="str">
        <f>IF(OR(AND(Q16="Muy Baja",U16="Leve"),AND(Q16="Muy Baja",U16="Menor"),AND(Q16="Baja",U16="Leve")),"Bajo",IF(OR(AND(Q16="Muy baja",U16="Moderado"),AND(Q16="Baja",U16="Menor"),AND(Q16="Baja",U16="Moderado"),AND(Q16="Media",U16="Leve"),AND(Q16="Media",U16="Menor"),AND(Q16="Media",U16="Moderado"),AND(Q16="Alta",U16="Leve"),AND(Q16="Alta",U16="Menor")),"Moderado",IF(OR(AND(Q16="Muy Baja",U16="Mayor"),AND(Q16="Baja",U16="Mayor"),AND(Q16="Media",U16="Mayor"),AND(Q16="Alta",U16="Moderado"),AND(Q16="Alta",U16="Mayor"),AND(Q16="Muy Alta",U16="Leve"),AND(Q16="Muy Alta",U16="Menor"),AND(Q16="Muy Alta",U16="Moderado"),AND(Q16="Muy Alta",U16="Mayor")),"Alto",IF(OR(AND(Q16="Muy Baja",U16="Catastrófico"),AND(Q16="Baja",U16="Catastrófico"),AND(Q16="Media",U16="Catastrófico"),AND(Q16="Alta",U16="Catastrófico"),AND(Q16="Muy Alta",U16="Catastrófico")),"Extremo",""))))</f>
        <v>Moderado</v>
      </c>
      <c r="X16" s="193">
        <v>1</v>
      </c>
      <c r="Y16" s="289" t="s">
        <v>554</v>
      </c>
      <c r="Z16" s="255" t="s">
        <v>555</v>
      </c>
      <c r="AA16" s="286" t="str">
        <f t="shared" ref="AA16:AA22" si="5">IF(OR(AB16="Preventivo",AB16="Detectivo"),"Probabilidad",IF(AB16="Correctivo","Impacto",""))</f>
        <v>Probabilidad</v>
      </c>
      <c r="AB16" s="190" t="s">
        <v>13</v>
      </c>
      <c r="AC16" s="190" t="s">
        <v>8</v>
      </c>
      <c r="AD16" s="287" t="str">
        <f t="shared" ref="AD16:AD22" si="6">IF(AND(AB16="Preventivo",AC16="Automático"),"50%",IF(AND(AB16="Preventivo",AC16="Manual"),"40%",IF(AND(AB16="Detectivo",AC16="Automático"),"40%",IF(AND(AB16="Detectivo",AC16="Manual"),"30%",IF(AND(AB16="Correctivo",AC16="Automático"),"35%",IF(AND(AB16="Correctivo",AC16="Manual"),"25%",""))))))</f>
        <v>40%</v>
      </c>
      <c r="AE16" s="190" t="s">
        <v>18</v>
      </c>
      <c r="AF16" s="190" t="s">
        <v>21</v>
      </c>
      <c r="AG16" s="190" t="s">
        <v>117</v>
      </c>
      <c r="AH16" s="255" t="s">
        <v>556</v>
      </c>
      <c r="AI16" s="188">
        <f t="shared" ref="AI16:AI22" si="7">IFERROR(IF(AA16="Probabilidad",(R16-(+R16*AD16)),IF(AA16="Impacto",R16,"")),"")</f>
        <v>0.48</v>
      </c>
      <c r="AJ16" s="290" t="str">
        <f t="shared" ref="AJ16:AJ22" si="8">IFERROR(IF(AI16="","",IF(AI16&lt;=0.2,"Muy Baja",IF(AI16&lt;=0.4,"Baja",IF(AI16&lt;=0.6,"Media",IF(AI16&lt;=0.8,"Alta","Muy Alta"))))),"")</f>
        <v>Media</v>
      </c>
      <c r="AK16" s="189">
        <f t="shared" si="0"/>
        <v>0.48</v>
      </c>
      <c r="AL16" s="290" t="str">
        <f t="shared" ref="AL16:AL22" si="9">IFERROR(IF(AM16="","",IF(AM16&lt;=0.2,"Leve",IF(AM16&lt;=0.4,"Menor",IF(AM16&lt;=0.6,"Moderado",IF(AM16&lt;=0.8,"Mayor","Catastrófico"))))),"")</f>
        <v>Leve</v>
      </c>
      <c r="AM16" s="189">
        <f t="shared" ref="AM16:AM22" si="10">IFERROR(IF(AA16="Impacto",(V16-(+V16*AD16)),IF(AA16="Probabilidad",V16,"")),"")</f>
        <v>0.2</v>
      </c>
      <c r="AN16" s="290" t="str">
        <f t="shared" si="1"/>
        <v>Moderado</v>
      </c>
      <c r="AO16" s="190" t="s">
        <v>133</v>
      </c>
      <c r="AP16" s="251" t="s">
        <v>557</v>
      </c>
      <c r="AQ16" s="251" t="s">
        <v>550</v>
      </c>
      <c r="AR16" s="191">
        <v>45687</v>
      </c>
      <c r="AS16" s="191">
        <v>45727</v>
      </c>
      <c r="AT16" s="182"/>
      <c r="AU16" s="182" t="s">
        <v>39</v>
      </c>
      <c r="AV16" s="191">
        <v>45922</v>
      </c>
      <c r="AW16" s="182" t="s">
        <v>722</v>
      </c>
      <c r="AX16" s="182" t="s">
        <v>39</v>
      </c>
      <c r="AY16" s="182" t="s">
        <v>723</v>
      </c>
      <c r="AZ16" s="191"/>
      <c r="BA16" s="182"/>
      <c r="BB16" s="182"/>
    </row>
    <row r="17" spans="1:54" s="229" customFormat="1" ht="148.5" customHeight="1" x14ac:dyDescent="0.25">
      <c r="A17" s="225"/>
      <c r="B17" s="225"/>
      <c r="C17" s="225"/>
      <c r="D17" s="212" t="s">
        <v>573</v>
      </c>
      <c r="E17" s="212" t="s">
        <v>217</v>
      </c>
      <c r="F17" s="212" t="s">
        <v>129</v>
      </c>
      <c r="G17" s="212" t="s">
        <v>311</v>
      </c>
      <c r="H17" s="183" t="s">
        <v>225</v>
      </c>
      <c r="I17" s="251" t="s">
        <v>693</v>
      </c>
      <c r="J17" s="182"/>
      <c r="K17" s="251" t="s">
        <v>559</v>
      </c>
      <c r="L17" s="259" t="s">
        <v>694</v>
      </c>
      <c r="M17" s="210" t="s">
        <v>121</v>
      </c>
      <c r="N17" s="182" t="s">
        <v>232</v>
      </c>
      <c r="O17" s="182" t="s">
        <v>235</v>
      </c>
      <c r="P17" s="182">
        <v>1</v>
      </c>
      <c r="Q17" s="193" t="str">
        <f t="shared" si="2"/>
        <v>Muy Baja</v>
      </c>
      <c r="R17" s="189">
        <f t="shared" si="3"/>
        <v>0.2</v>
      </c>
      <c r="S17" s="194" t="s">
        <v>148</v>
      </c>
      <c r="T17" s="242" t="str">
        <f>IF(NOT(ISERROR(MATCH(S17,'[5]Tabla Impacto'!$B$221:$B$223,0))),'[5]Tabla Impacto'!$F$223&amp;"Por favor no seleccionar los criterios de impacto(Afectación Económica o presupuestal y Pérdida Reputacional)",S17)</f>
        <v xml:space="preserve">     El riesgo afecta la imagen de alguna área de la organización</v>
      </c>
      <c r="U17" s="193" t="str">
        <f>IF(OR(T17='[7]Tabla Impacto'!$C$11,T17='[7]Tabla Impacto'!$D$11),"Leve",IF(OR(T17='[7]Tabla Impacto'!$C$12,T17='[7]Tabla Impacto'!$D$12),"Menor",IF(OR(T17='[7]Tabla Impacto'!$C$13,T17='[7]Tabla Impacto'!$D$13),"Moderado",IF(OR(T17='[7]Tabla Impacto'!$C$14,T17='[7]Tabla Impacto'!$D$14),"Mayor",IF(OR(T17='[7]Tabla Impacto'!$C$15,T17='[7]Tabla Impacto'!$D$15),"Catastrófico","")))))</f>
        <v>Leve</v>
      </c>
      <c r="V17" s="189">
        <f t="shared" si="4"/>
        <v>0.2</v>
      </c>
      <c r="W17" s="193" t="str">
        <f t="shared" ref="W17:W22" si="11">IF(OR(AND(Q17="Muy Baja",U17="Leve"),AND(Q17="Muy Baja",U17="Menor"),AND(Q17="Baja",U17="Leve")),"Bajo",IF(OR(AND(Q17="Muy baja",U17="Moderado"),AND(Q17="Baja",U17="Menor"),AND(Q17="Baja",U17="Moderado"),AND(Q17="Media",U17="Leve"),AND(Q17="Media",U17="Menor"),AND(Q17="Media",U17="Moderado"),AND(Q17="Alta",U17="Leve"),AND(Q17="Alta",U17="Menor")),"Moderado",IF(OR(AND(Q17="Muy Baja",U17="Mayor"),AND(Q17="Baja",U17="Mayor"),AND(Q17="Media",U17="Mayor"),AND(Q17="Alta",U17="Moderado"),AND(Q17="Alta",U17="Mayor"),AND(Q17="Muy Alta",U17="Leve"),AND(Q17="Muy Alta",U17="Menor"),AND(Q17="Muy Alta",U17="Moderado"),AND(Q17="Muy Alta",U17="Mayor")),"Alto",IF(OR(AND(Q17="Muy Baja",U17="Catastrófico"),AND(Q17="Baja",U17="Catastrófico"),AND(Q17="Media",U17="Catastrófico"),AND(Q17="Alta",U17="Catastrófico"),AND(Q17="Muy Alta",U17="Catastrófico")),"Extremo",""))))</f>
        <v>Bajo</v>
      </c>
      <c r="X17" s="183">
        <v>1</v>
      </c>
      <c r="Y17" s="158" t="s">
        <v>561</v>
      </c>
      <c r="Z17" s="158" t="s">
        <v>562</v>
      </c>
      <c r="AA17" s="286" t="str">
        <f t="shared" si="5"/>
        <v>Probabilidad</v>
      </c>
      <c r="AB17" s="190" t="s">
        <v>13</v>
      </c>
      <c r="AC17" s="190" t="s">
        <v>8</v>
      </c>
      <c r="AD17" s="287" t="str">
        <f t="shared" si="6"/>
        <v>40%</v>
      </c>
      <c r="AE17" s="190" t="s">
        <v>18</v>
      </c>
      <c r="AF17" s="190" t="s">
        <v>21</v>
      </c>
      <c r="AG17" s="190" t="s">
        <v>117</v>
      </c>
      <c r="AH17" s="255" t="s">
        <v>563</v>
      </c>
      <c r="AI17" s="188">
        <f t="shared" si="7"/>
        <v>0.12</v>
      </c>
      <c r="AJ17" s="290" t="str">
        <f t="shared" si="8"/>
        <v>Muy Baja</v>
      </c>
      <c r="AK17" s="189">
        <f t="shared" si="0"/>
        <v>0.12</v>
      </c>
      <c r="AL17" s="290" t="str">
        <f t="shared" si="9"/>
        <v>Leve</v>
      </c>
      <c r="AM17" s="189">
        <f t="shared" si="10"/>
        <v>0.2</v>
      </c>
      <c r="AN17" s="290" t="str">
        <f t="shared" si="1"/>
        <v>Bajo</v>
      </c>
      <c r="AO17" s="190" t="s">
        <v>134</v>
      </c>
      <c r="AP17" s="251" t="s">
        <v>564</v>
      </c>
      <c r="AQ17" s="251" t="s">
        <v>550</v>
      </c>
      <c r="AR17" s="191">
        <v>45687</v>
      </c>
      <c r="AS17" s="191">
        <v>45727</v>
      </c>
      <c r="AT17" s="182"/>
      <c r="AU17" s="182" t="s">
        <v>39</v>
      </c>
      <c r="AV17" s="191">
        <v>45922</v>
      </c>
      <c r="AW17" s="182" t="s">
        <v>724</v>
      </c>
      <c r="AX17" s="182" t="s">
        <v>39</v>
      </c>
      <c r="AY17" s="182" t="s">
        <v>725</v>
      </c>
      <c r="AZ17" s="191"/>
      <c r="BA17" s="182"/>
      <c r="BB17" s="182"/>
    </row>
    <row r="18" spans="1:54" s="229" customFormat="1" ht="148.5" customHeight="1" x14ac:dyDescent="0.25">
      <c r="A18" s="225"/>
      <c r="B18" s="225"/>
      <c r="C18" s="225"/>
      <c r="D18" s="212" t="s">
        <v>574</v>
      </c>
      <c r="E18" s="212" t="s">
        <v>217</v>
      </c>
      <c r="F18" s="212" t="s">
        <v>129</v>
      </c>
      <c r="G18" s="212" t="s">
        <v>311</v>
      </c>
      <c r="H18" s="183" t="s">
        <v>225</v>
      </c>
      <c r="I18" s="251" t="s">
        <v>565</v>
      </c>
      <c r="J18" s="182"/>
      <c r="K18" s="251" t="s">
        <v>566</v>
      </c>
      <c r="L18" s="259" t="s">
        <v>567</v>
      </c>
      <c r="M18" s="210" t="s">
        <v>121</v>
      </c>
      <c r="N18" s="182" t="s">
        <v>232</v>
      </c>
      <c r="O18" s="182" t="s">
        <v>235</v>
      </c>
      <c r="P18" s="182">
        <v>1</v>
      </c>
      <c r="Q18" s="193" t="str">
        <f t="shared" si="2"/>
        <v>Muy Baja</v>
      </c>
      <c r="R18" s="189">
        <f t="shared" si="3"/>
        <v>0.2</v>
      </c>
      <c r="S18" s="194" t="s">
        <v>148</v>
      </c>
      <c r="T18" s="242" t="str">
        <f>IF(NOT(ISERROR(MATCH(S18,'[5]Tabla Impacto'!$B$221:$B$223,0))),'[5]Tabla Impacto'!$F$223&amp;"Por favor no seleccionar los criterios de impacto(Afectación Económica o presupuestal y Pérdida Reputacional)",S18)</f>
        <v xml:space="preserve">     El riesgo afecta la imagen de alguna área de la organización</v>
      </c>
      <c r="U18" s="193" t="str">
        <f>IF(OR(T18='[7]Tabla Impacto'!$C$11,T18='[7]Tabla Impacto'!$D$11),"Leve",IF(OR(T18='[7]Tabla Impacto'!$C$12,T18='[7]Tabla Impacto'!$D$12),"Menor",IF(OR(T18='[7]Tabla Impacto'!$C$13,T18='[7]Tabla Impacto'!$D$13),"Moderado",IF(OR(T18='[7]Tabla Impacto'!$C$14,T18='[7]Tabla Impacto'!$D$14),"Mayor",IF(OR(T18='[7]Tabla Impacto'!$C$15,T18='[7]Tabla Impacto'!$D$15),"Catastrófico","")))))</f>
        <v>Leve</v>
      </c>
      <c r="V18" s="189">
        <f t="shared" si="4"/>
        <v>0.2</v>
      </c>
      <c r="W18" s="193" t="str">
        <f t="shared" si="11"/>
        <v>Bajo</v>
      </c>
      <c r="X18" s="183">
        <v>1</v>
      </c>
      <c r="Y18" s="256" t="s">
        <v>568</v>
      </c>
      <c r="Z18" s="255" t="s">
        <v>569</v>
      </c>
      <c r="AA18" s="286" t="str">
        <f t="shared" si="5"/>
        <v>Probabilidad</v>
      </c>
      <c r="AB18" s="190" t="s">
        <v>13</v>
      </c>
      <c r="AC18" s="190" t="s">
        <v>8</v>
      </c>
      <c r="AD18" s="287" t="str">
        <f t="shared" si="6"/>
        <v>40%</v>
      </c>
      <c r="AE18" s="190" t="s">
        <v>18</v>
      </c>
      <c r="AF18" s="190" t="s">
        <v>21</v>
      </c>
      <c r="AG18" s="190" t="s">
        <v>117</v>
      </c>
      <c r="AH18" s="255" t="s">
        <v>556</v>
      </c>
      <c r="AI18" s="188">
        <f t="shared" si="7"/>
        <v>0.12</v>
      </c>
      <c r="AJ18" s="290" t="str">
        <f t="shared" si="8"/>
        <v>Muy Baja</v>
      </c>
      <c r="AK18" s="189">
        <f t="shared" si="0"/>
        <v>0.12</v>
      </c>
      <c r="AL18" s="290" t="str">
        <f t="shared" si="9"/>
        <v>Leve</v>
      </c>
      <c r="AM18" s="189">
        <f t="shared" si="10"/>
        <v>0.2</v>
      </c>
      <c r="AN18" s="290" t="str">
        <f t="shared" si="1"/>
        <v>Bajo</v>
      </c>
      <c r="AO18" s="190"/>
      <c r="AP18" s="251" t="s">
        <v>557</v>
      </c>
      <c r="AQ18" s="251" t="s">
        <v>550</v>
      </c>
      <c r="AR18" s="191">
        <v>45687</v>
      </c>
      <c r="AS18" s="191">
        <v>45727</v>
      </c>
      <c r="AT18" s="182"/>
      <c r="AU18" s="182" t="s">
        <v>39</v>
      </c>
      <c r="AV18" s="191">
        <v>45922</v>
      </c>
      <c r="AW18" s="182" t="s">
        <v>726</v>
      </c>
      <c r="AX18" s="182" t="s">
        <v>39</v>
      </c>
      <c r="AY18" s="182" t="s">
        <v>727</v>
      </c>
      <c r="AZ18" s="191"/>
      <c r="BA18" s="182"/>
      <c r="BB18" s="182"/>
    </row>
    <row r="19" spans="1:54" s="229" customFormat="1" ht="109.5" hidden="1" customHeight="1" x14ac:dyDescent="0.25">
      <c r="A19" s="225"/>
      <c r="B19" s="225"/>
      <c r="C19" s="225"/>
      <c r="D19" s="183">
        <v>5</v>
      </c>
      <c r="E19" s="212"/>
      <c r="F19" s="212"/>
      <c r="G19" s="212"/>
      <c r="H19" s="183"/>
      <c r="I19" s="182"/>
      <c r="J19" s="182"/>
      <c r="K19" s="182"/>
      <c r="L19" s="203"/>
      <c r="M19" s="210"/>
      <c r="N19" s="182"/>
      <c r="O19" s="182"/>
      <c r="P19" s="182"/>
      <c r="Q19" s="193" t="str">
        <f t="shared" si="2"/>
        <v/>
      </c>
      <c r="R19" s="189" t="str">
        <f t="shared" si="3"/>
        <v/>
      </c>
      <c r="S19" s="194"/>
      <c r="T19" s="285">
        <f>IF(NOT(ISERROR(MATCH(S19,'[5]Tabla Impacto'!$B$221:$B$223,0))),'[5]Tabla Impacto'!$F$223&amp;"Por favor no seleccionar los criterios de impacto(Afectación Económica o presupuestal y Pérdida Reputacional)",S19)</f>
        <v>0</v>
      </c>
      <c r="U19" s="193" t="str">
        <f>IF(OR(T19='[7]Tabla Impacto'!$C$11,T19='[7]Tabla Impacto'!$D$11),"Leve",IF(OR(T19='[7]Tabla Impacto'!$C$12,T19='[7]Tabla Impacto'!$D$12),"Menor",IF(OR(T19='[7]Tabla Impacto'!$C$13,T19='[7]Tabla Impacto'!$D$13),"Moderado",IF(OR(T19='[7]Tabla Impacto'!$C$14,T19='[7]Tabla Impacto'!$D$14),"Mayor",IF(OR(T19='[7]Tabla Impacto'!$C$15,T19='[7]Tabla Impacto'!$D$15),"Catastrófico","")))))</f>
        <v/>
      </c>
      <c r="V19" s="189" t="str">
        <f t="shared" si="4"/>
        <v/>
      </c>
      <c r="W19" s="193" t="str">
        <f t="shared" si="11"/>
        <v/>
      </c>
      <c r="X19" s="183"/>
      <c r="Y19" s="158"/>
      <c r="Z19" s="158"/>
      <c r="AA19" s="286" t="str">
        <f t="shared" si="5"/>
        <v/>
      </c>
      <c r="AB19" s="190"/>
      <c r="AC19" s="190"/>
      <c r="AD19" s="287" t="str">
        <f t="shared" si="6"/>
        <v/>
      </c>
      <c r="AE19" s="190"/>
      <c r="AF19" s="190"/>
      <c r="AG19" s="190"/>
      <c r="AH19" s="190"/>
      <c r="AI19" s="188" t="str">
        <f t="shared" si="7"/>
        <v/>
      </c>
      <c r="AJ19" s="288" t="str">
        <f t="shared" si="8"/>
        <v/>
      </c>
      <c r="AK19" s="189" t="str">
        <f t="shared" si="0"/>
        <v/>
      </c>
      <c r="AL19" s="288" t="str">
        <f t="shared" si="9"/>
        <v/>
      </c>
      <c r="AM19" s="189" t="str">
        <f t="shared" si="10"/>
        <v/>
      </c>
      <c r="AN19" s="288" t="str">
        <f t="shared" si="1"/>
        <v/>
      </c>
      <c r="AO19" s="190"/>
      <c r="AP19" s="182"/>
      <c r="AQ19" s="182"/>
      <c r="AR19" s="191"/>
      <c r="AS19" s="191"/>
      <c r="AT19" s="182"/>
      <c r="AU19" s="182"/>
      <c r="AV19" s="191"/>
      <c r="AW19" s="182"/>
      <c r="AX19" s="182"/>
      <c r="AY19" s="182"/>
      <c r="AZ19" s="191"/>
      <c r="BA19" s="182"/>
      <c r="BB19" s="182"/>
    </row>
    <row r="20" spans="1:54" s="229" customFormat="1" ht="109.5" hidden="1" customHeight="1" x14ac:dyDescent="0.25">
      <c r="A20" s="225"/>
      <c r="B20" s="225"/>
      <c r="C20" s="225"/>
      <c r="D20" s="183">
        <v>6</v>
      </c>
      <c r="E20" s="212"/>
      <c r="F20" s="212"/>
      <c r="G20" s="212"/>
      <c r="H20" s="183"/>
      <c r="I20" s="182"/>
      <c r="J20" s="182"/>
      <c r="K20" s="182"/>
      <c r="L20" s="203"/>
      <c r="M20" s="210"/>
      <c r="N20" s="182"/>
      <c r="O20" s="182"/>
      <c r="P20" s="182"/>
      <c r="Q20" s="193" t="str">
        <f t="shared" si="2"/>
        <v/>
      </c>
      <c r="R20" s="189" t="str">
        <f t="shared" si="3"/>
        <v/>
      </c>
      <c r="S20" s="194"/>
      <c r="T20" s="285">
        <f>IF(NOT(ISERROR(MATCH(S20,'[5]Tabla Impacto'!$B$221:$B$223,0))),'[5]Tabla Impacto'!$F$223&amp;"Por favor no seleccionar los criterios de impacto(Afectación Económica o presupuestal y Pérdida Reputacional)",S20)</f>
        <v>0</v>
      </c>
      <c r="U20" s="193" t="str">
        <f>IF(OR(T20='[7]Tabla Impacto'!$C$11,T20='[7]Tabla Impacto'!$D$11),"Leve",IF(OR(T20='[7]Tabla Impacto'!$C$12,T20='[7]Tabla Impacto'!$D$12),"Menor",IF(OR(T20='[7]Tabla Impacto'!$C$13,T20='[7]Tabla Impacto'!$D$13),"Moderado",IF(OR(T20='[7]Tabla Impacto'!$C$14,T20='[7]Tabla Impacto'!$D$14),"Mayor",IF(OR(T20='[7]Tabla Impacto'!$C$15,T20='[7]Tabla Impacto'!$D$15),"Catastrófico","")))))</f>
        <v/>
      </c>
      <c r="V20" s="189" t="str">
        <f t="shared" si="4"/>
        <v/>
      </c>
      <c r="W20" s="193" t="str">
        <f t="shared" si="11"/>
        <v/>
      </c>
      <c r="X20" s="183"/>
      <c r="Y20" s="158"/>
      <c r="Z20" s="158"/>
      <c r="AA20" s="286" t="str">
        <f t="shared" si="5"/>
        <v/>
      </c>
      <c r="AB20" s="190"/>
      <c r="AC20" s="190"/>
      <c r="AD20" s="287" t="str">
        <f t="shared" si="6"/>
        <v/>
      </c>
      <c r="AE20" s="190"/>
      <c r="AF20" s="190"/>
      <c r="AG20" s="190"/>
      <c r="AH20" s="190"/>
      <c r="AI20" s="188" t="str">
        <f t="shared" si="7"/>
        <v/>
      </c>
      <c r="AJ20" s="288" t="str">
        <f t="shared" si="8"/>
        <v/>
      </c>
      <c r="AK20" s="189" t="str">
        <f t="shared" si="0"/>
        <v/>
      </c>
      <c r="AL20" s="288" t="str">
        <f t="shared" si="9"/>
        <v/>
      </c>
      <c r="AM20" s="189" t="str">
        <f t="shared" si="10"/>
        <v/>
      </c>
      <c r="AN20" s="288" t="str">
        <f t="shared" si="1"/>
        <v/>
      </c>
      <c r="AO20" s="190"/>
      <c r="AP20" s="182"/>
      <c r="AQ20" s="182"/>
      <c r="AR20" s="191"/>
      <c r="AS20" s="191"/>
      <c r="AT20" s="182"/>
      <c r="AU20" s="182"/>
      <c r="AV20" s="191"/>
      <c r="AW20" s="182"/>
      <c r="AX20" s="182"/>
      <c r="AY20" s="182"/>
      <c r="AZ20" s="191"/>
      <c r="BA20" s="182"/>
      <c r="BB20" s="182"/>
    </row>
    <row r="21" spans="1:54" s="229" customFormat="1" ht="109.5" hidden="1" customHeight="1" x14ac:dyDescent="0.25">
      <c r="A21" s="225"/>
      <c r="B21" s="225"/>
      <c r="C21" s="225"/>
      <c r="D21" s="183">
        <v>7</v>
      </c>
      <c r="E21" s="212"/>
      <c r="F21" s="212"/>
      <c r="G21" s="212"/>
      <c r="H21" s="183"/>
      <c r="I21" s="182"/>
      <c r="J21" s="182"/>
      <c r="K21" s="182"/>
      <c r="L21" s="203"/>
      <c r="M21" s="210"/>
      <c r="N21" s="182"/>
      <c r="O21" s="182"/>
      <c r="P21" s="182"/>
      <c r="Q21" s="193" t="str">
        <f t="shared" si="2"/>
        <v/>
      </c>
      <c r="R21" s="189" t="str">
        <f t="shared" si="3"/>
        <v/>
      </c>
      <c r="S21" s="194"/>
      <c r="T21" s="285">
        <f>IF(NOT(ISERROR(MATCH(S21,'[5]Tabla Impacto'!$B$221:$B$223,0))),'[5]Tabla Impacto'!$F$223&amp;"Por favor no seleccionar los criterios de impacto(Afectación Económica o presupuestal y Pérdida Reputacional)",S21)</f>
        <v>0</v>
      </c>
      <c r="U21" s="193" t="str">
        <f>IF(OR(T21='[7]Tabla Impacto'!$C$11,T21='[7]Tabla Impacto'!$D$11),"Leve",IF(OR(T21='[7]Tabla Impacto'!$C$12,T21='[7]Tabla Impacto'!$D$12),"Menor",IF(OR(T21='[7]Tabla Impacto'!$C$13,T21='[7]Tabla Impacto'!$D$13),"Moderado",IF(OR(T21='[7]Tabla Impacto'!$C$14,T21='[7]Tabla Impacto'!$D$14),"Mayor",IF(OR(T21='[7]Tabla Impacto'!$C$15,T21='[7]Tabla Impacto'!$D$15),"Catastrófico","")))))</f>
        <v/>
      </c>
      <c r="V21" s="189" t="str">
        <f t="shared" si="4"/>
        <v/>
      </c>
      <c r="W21" s="193" t="str">
        <f t="shared" si="11"/>
        <v/>
      </c>
      <c r="X21" s="183"/>
      <c r="Y21" s="158"/>
      <c r="Z21" s="158"/>
      <c r="AA21" s="286" t="str">
        <f t="shared" si="5"/>
        <v/>
      </c>
      <c r="AB21" s="190"/>
      <c r="AC21" s="190"/>
      <c r="AD21" s="287" t="str">
        <f t="shared" si="6"/>
        <v/>
      </c>
      <c r="AE21" s="190"/>
      <c r="AF21" s="190"/>
      <c r="AG21" s="190"/>
      <c r="AH21" s="190"/>
      <c r="AI21" s="188" t="str">
        <f t="shared" si="7"/>
        <v/>
      </c>
      <c r="AJ21" s="288" t="str">
        <f t="shared" si="8"/>
        <v/>
      </c>
      <c r="AK21" s="189" t="str">
        <f t="shared" si="0"/>
        <v/>
      </c>
      <c r="AL21" s="288" t="str">
        <f t="shared" si="9"/>
        <v/>
      </c>
      <c r="AM21" s="189" t="str">
        <f t="shared" si="10"/>
        <v/>
      </c>
      <c r="AN21" s="288" t="str">
        <f t="shared" si="1"/>
        <v/>
      </c>
      <c r="AO21" s="190"/>
      <c r="AP21" s="182"/>
      <c r="AQ21" s="182"/>
      <c r="AR21" s="191"/>
      <c r="AS21" s="191"/>
      <c r="AT21" s="182"/>
      <c r="AU21" s="182"/>
      <c r="AV21" s="191"/>
      <c r="AW21" s="182"/>
      <c r="AX21" s="182"/>
      <c r="AY21" s="182"/>
      <c r="AZ21" s="191"/>
      <c r="BA21" s="182"/>
      <c r="BB21" s="182"/>
    </row>
    <row r="22" spans="1:54" s="229" customFormat="1" ht="109.5" hidden="1" customHeight="1" x14ac:dyDescent="0.25">
      <c r="A22" s="225"/>
      <c r="B22" s="225"/>
      <c r="C22" s="225"/>
      <c r="D22" s="183">
        <v>8</v>
      </c>
      <c r="E22" s="212"/>
      <c r="F22" s="212"/>
      <c r="G22" s="212"/>
      <c r="H22" s="183"/>
      <c r="I22" s="182"/>
      <c r="J22" s="182"/>
      <c r="K22" s="182"/>
      <c r="L22" s="203"/>
      <c r="M22" s="210"/>
      <c r="N22" s="182"/>
      <c r="O22" s="182"/>
      <c r="P22" s="182"/>
      <c r="Q22" s="193" t="str">
        <f t="shared" si="2"/>
        <v/>
      </c>
      <c r="R22" s="189" t="str">
        <f t="shared" si="3"/>
        <v/>
      </c>
      <c r="S22" s="194"/>
      <c r="T22" s="285">
        <f>IF(NOT(ISERROR(MATCH(S22,'[5]Tabla Impacto'!$B$221:$B$223,0))),'[5]Tabla Impacto'!$F$223&amp;"Por favor no seleccionar los criterios de impacto(Afectación Económica o presupuestal y Pérdida Reputacional)",S22)</f>
        <v>0</v>
      </c>
      <c r="U22" s="193" t="str">
        <f>IF(OR(T22='[7]Tabla Impacto'!$C$11,T22='[7]Tabla Impacto'!$D$11),"Leve",IF(OR(T22='[7]Tabla Impacto'!$C$12,T22='[7]Tabla Impacto'!$D$12),"Menor",IF(OR(T22='[7]Tabla Impacto'!$C$13,T22='[7]Tabla Impacto'!$D$13),"Moderado",IF(OR(T22='[7]Tabla Impacto'!$C$14,T22='[7]Tabla Impacto'!$D$14),"Mayor",IF(OR(T22='[7]Tabla Impacto'!$C$15,T22='[7]Tabla Impacto'!$D$15),"Catastrófico","")))))</f>
        <v/>
      </c>
      <c r="V22" s="189" t="str">
        <f t="shared" si="4"/>
        <v/>
      </c>
      <c r="W22" s="193" t="str">
        <f t="shared" si="11"/>
        <v/>
      </c>
      <c r="X22" s="183"/>
      <c r="Y22" s="158"/>
      <c r="Z22" s="158"/>
      <c r="AA22" s="286" t="str">
        <f t="shared" si="5"/>
        <v/>
      </c>
      <c r="AB22" s="190"/>
      <c r="AC22" s="190"/>
      <c r="AD22" s="287" t="str">
        <f t="shared" si="6"/>
        <v/>
      </c>
      <c r="AE22" s="190"/>
      <c r="AF22" s="190"/>
      <c r="AG22" s="190"/>
      <c r="AH22" s="190"/>
      <c r="AI22" s="188" t="str">
        <f t="shared" si="7"/>
        <v/>
      </c>
      <c r="AJ22" s="288" t="str">
        <f t="shared" si="8"/>
        <v/>
      </c>
      <c r="AK22" s="189" t="str">
        <f t="shared" si="0"/>
        <v/>
      </c>
      <c r="AL22" s="288" t="str">
        <f t="shared" si="9"/>
        <v/>
      </c>
      <c r="AM22" s="189" t="str">
        <f t="shared" si="10"/>
        <v/>
      </c>
      <c r="AN22" s="288" t="str">
        <f t="shared" si="1"/>
        <v/>
      </c>
      <c r="AO22" s="190"/>
      <c r="AP22" s="182"/>
      <c r="AQ22" s="182"/>
      <c r="AR22" s="191"/>
      <c r="AS22" s="191"/>
      <c r="AT22" s="182"/>
      <c r="AU22" s="182"/>
      <c r="AV22" s="191"/>
      <c r="AW22" s="182"/>
      <c r="AX22" s="182"/>
      <c r="AY22" s="182"/>
      <c r="AZ22" s="191"/>
      <c r="BA22" s="182"/>
      <c r="BB22" s="182"/>
    </row>
    <row r="23" spans="1:54" ht="49.5" customHeight="1" x14ac:dyDescent="0.2">
      <c r="D23" s="204"/>
      <c r="E23" s="205"/>
      <c r="F23" s="205"/>
      <c r="G23" s="205"/>
      <c r="H23" s="205"/>
      <c r="I23" s="560" t="s">
        <v>390</v>
      </c>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1"/>
    </row>
    <row r="25" spans="1:54" ht="15.75" x14ac:dyDescent="0.2">
      <c r="D25" s="109"/>
      <c r="E25" s="110"/>
      <c r="F25" s="110"/>
      <c r="G25" s="110"/>
      <c r="H25" s="110"/>
      <c r="I25" s="110"/>
      <c r="J25" s="110"/>
      <c r="K25" s="110"/>
      <c r="L25" s="110"/>
      <c r="M25" s="165"/>
      <c r="N25" s="165"/>
      <c r="O25" s="165"/>
      <c r="Q25" s="111"/>
      <c r="R25" s="110"/>
      <c r="S25" s="110"/>
      <c r="T25" s="110"/>
      <c r="U25" s="110"/>
      <c r="V25" s="110"/>
      <c r="W25" s="110"/>
      <c r="X25" s="110"/>
      <c r="Y25" s="110"/>
      <c r="Z25" s="110"/>
      <c r="AA25" s="112"/>
      <c r="AB25" s="112"/>
      <c r="AC25" s="110"/>
      <c r="AD25" s="110"/>
      <c r="AE25" s="110"/>
      <c r="AF25" s="110"/>
      <c r="AG25" s="110"/>
      <c r="AH25" s="110"/>
      <c r="AI25" s="110"/>
      <c r="AJ25" s="110"/>
      <c r="AK25" s="110"/>
      <c r="AL25" s="110"/>
      <c r="AM25" s="110"/>
      <c r="AN25" s="110"/>
      <c r="AO25" s="113"/>
      <c r="AP25" s="113"/>
      <c r="AQ25" s="110"/>
      <c r="AR25" s="110"/>
      <c r="AS25" s="110"/>
      <c r="AT25" s="110"/>
      <c r="AU25" s="110"/>
      <c r="AV25" s="110"/>
      <c r="AW25" s="110"/>
    </row>
    <row r="26" spans="1:54" ht="18" x14ac:dyDescent="0.2">
      <c r="D26" s="498" t="s">
        <v>570</v>
      </c>
      <c r="E26" s="498"/>
      <c r="F26" s="498"/>
      <c r="G26" s="498"/>
      <c r="H26" s="498"/>
      <c r="I26" s="498"/>
      <c r="J26" s="498"/>
      <c r="K26" s="498"/>
      <c r="L26" s="498"/>
      <c r="M26" s="165"/>
      <c r="N26" s="165"/>
      <c r="O26" s="165"/>
      <c r="P26" s="499" t="s">
        <v>388</v>
      </c>
      <c r="Q26" s="500"/>
      <c r="R26" s="500"/>
      <c r="S26" s="501"/>
      <c r="T26" s="110"/>
      <c r="U26" s="110"/>
      <c r="V26" s="110"/>
      <c r="W26" s="110"/>
      <c r="X26" s="110"/>
      <c r="Y26" s="110"/>
      <c r="Z26" s="113"/>
      <c r="AA26" s="112"/>
      <c r="AB26" s="112"/>
      <c r="AC26" s="110"/>
      <c r="AD26" s="112"/>
      <c r="AE26" s="112"/>
      <c r="AF26" s="110"/>
      <c r="AG26" s="110"/>
      <c r="AH26" s="110"/>
      <c r="AI26" s="110"/>
      <c r="AJ26" s="110"/>
      <c r="AK26" s="110"/>
      <c r="AL26" s="110"/>
      <c r="AM26" s="110"/>
      <c r="AN26" s="110"/>
      <c r="AO26" s="110"/>
      <c r="AP26" s="110"/>
      <c r="AQ26" s="110"/>
      <c r="AR26" s="110"/>
      <c r="AS26" s="110"/>
      <c r="AT26" s="110"/>
      <c r="AU26" s="110"/>
      <c r="AV26" s="110"/>
      <c r="AW26" s="110"/>
    </row>
    <row r="27" spans="1:54" ht="15" thickBot="1" x14ac:dyDescent="0.25">
      <c r="D27" s="165"/>
      <c r="E27" s="165"/>
      <c r="F27" s="165"/>
      <c r="G27" s="165"/>
      <c r="H27" s="165"/>
      <c r="I27" s="165"/>
      <c r="J27" s="165"/>
      <c r="K27" s="165"/>
      <c r="M27" s="165"/>
      <c r="N27" s="165"/>
      <c r="O27" s="165"/>
      <c r="Q27" s="167" t="str">
        <f>+IFERROR(VLOOKUP(M27,$M$182:$Q$186,3,FALSE)*VLOOKUP(P27,$P$182:$Q$186,3,FALSE),"")</f>
        <v/>
      </c>
      <c r="AA27" s="167"/>
      <c r="AB27" s="206"/>
      <c r="AD27" s="206"/>
      <c r="AE27" s="206"/>
      <c r="AF27" s="207"/>
      <c r="AG27" s="207"/>
      <c r="AH27" s="207"/>
      <c r="AI27" s="207"/>
      <c r="AJ27" s="207"/>
      <c r="AK27" s="114"/>
      <c r="AL27" s="114"/>
      <c r="AM27" s="207"/>
      <c r="AN27" s="208"/>
      <c r="AR27" s="207"/>
      <c r="AT27" s="207"/>
      <c r="AV27" s="207"/>
    </row>
    <row r="28" spans="1:54" ht="17.45" customHeight="1" thickTop="1" thickBot="1" x14ac:dyDescent="0.25">
      <c r="D28" s="483" t="s">
        <v>205</v>
      </c>
      <c r="E28" s="483"/>
      <c r="F28" s="483"/>
      <c r="G28" s="483"/>
      <c r="H28" s="483"/>
      <c r="I28" s="483"/>
      <c r="J28" s="483"/>
      <c r="K28" s="483"/>
      <c r="L28" s="164" t="s">
        <v>206</v>
      </c>
      <c r="M28" s="483" t="s">
        <v>207</v>
      </c>
      <c r="N28" s="483"/>
      <c r="O28" s="483"/>
      <c r="P28" s="483"/>
      <c r="Q28" s="483"/>
      <c r="R28" s="483"/>
      <c r="S28" s="483"/>
      <c r="T28" s="118"/>
      <c r="U28" s="484" t="s">
        <v>208</v>
      </c>
      <c r="V28" s="484"/>
      <c r="W28" s="484"/>
      <c r="X28" s="483" t="s">
        <v>209</v>
      </c>
      <c r="Y28" s="483"/>
      <c r="Z28" s="483"/>
      <c r="AA28" s="483"/>
      <c r="AB28" s="484">
        <v>1</v>
      </c>
      <c r="AC28" s="484"/>
      <c r="AD28" s="484"/>
      <c r="AE28" s="484"/>
      <c r="AF28" s="117"/>
      <c r="AG28" s="117"/>
      <c r="AH28" s="117"/>
      <c r="AI28" s="117"/>
      <c r="AJ28" s="117"/>
      <c r="AK28" s="117"/>
      <c r="AL28" s="117"/>
      <c r="AM28" s="117"/>
      <c r="AN28" s="117"/>
      <c r="AO28" s="117"/>
      <c r="AP28" s="117"/>
      <c r="AQ28" s="117"/>
      <c r="AR28" s="117"/>
      <c r="AS28" s="117"/>
      <c r="AT28" s="117"/>
      <c r="AU28" s="117"/>
      <c r="AV28" s="117"/>
      <c r="AW28" s="115"/>
    </row>
    <row r="29" spans="1:54" ht="36.75" customHeight="1" thickTop="1" x14ac:dyDescent="0.25">
      <c r="D29" s="485" t="s">
        <v>385</v>
      </c>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row>
  </sheetData>
  <dataConsolidate/>
  <mergeCells count="72">
    <mergeCell ref="D2:H5"/>
    <mergeCell ref="I2:AZ5"/>
    <mergeCell ref="BA2:BB2"/>
    <mergeCell ref="BA3:BB3"/>
    <mergeCell ref="BA4:BB4"/>
    <mergeCell ref="BA5:BB5"/>
    <mergeCell ref="D7:G7"/>
    <mergeCell ref="H7:BB7"/>
    <mergeCell ref="D8:G8"/>
    <mergeCell ref="H8:BB8"/>
    <mergeCell ref="D9:G9"/>
    <mergeCell ref="H9:BB9"/>
    <mergeCell ref="L13:L14"/>
    <mergeCell ref="A11:C11"/>
    <mergeCell ref="D11:AU11"/>
    <mergeCell ref="AV11:AY11"/>
    <mergeCell ref="AZ11:BB11"/>
    <mergeCell ref="D12:P12"/>
    <mergeCell ref="Q12:W12"/>
    <mergeCell ref="X12:AG12"/>
    <mergeCell ref="AH12:AH14"/>
    <mergeCell ref="AI12:AO12"/>
    <mergeCell ref="AP12:BB12"/>
    <mergeCell ref="D13:D14"/>
    <mergeCell ref="E13:E14"/>
    <mergeCell ref="H13:H14"/>
    <mergeCell ref="I13:I14"/>
    <mergeCell ref="K13:K14"/>
    <mergeCell ref="Y13:Y14"/>
    <mergeCell ref="M13:M14"/>
    <mergeCell ref="N13:O13"/>
    <mergeCell ref="P13:P14"/>
    <mergeCell ref="Q13:Q14"/>
    <mergeCell ref="R13:R14"/>
    <mergeCell ref="S13:S14"/>
    <mergeCell ref="AV13:AV14"/>
    <mergeCell ref="AW13:AW14"/>
    <mergeCell ref="AL13:AL14"/>
    <mergeCell ref="AM13:AM14"/>
    <mergeCell ref="AN13:AN14"/>
    <mergeCell ref="AO13:AO14"/>
    <mergeCell ref="AP13:AP14"/>
    <mergeCell ref="AQ13:AQ14"/>
    <mergeCell ref="I23:AU23"/>
    <mergeCell ref="AR13:AR14"/>
    <mergeCell ref="AS13:AS14"/>
    <mergeCell ref="AT13:AT14"/>
    <mergeCell ref="AU13:AU14"/>
    <mergeCell ref="Z13:Z14"/>
    <mergeCell ref="AA13:AA14"/>
    <mergeCell ref="AB13:AG13"/>
    <mergeCell ref="AI13:AI14"/>
    <mergeCell ref="AJ13:AJ14"/>
    <mergeCell ref="AK13:AK14"/>
    <mergeCell ref="T13:T14"/>
    <mergeCell ref="U13:U14"/>
    <mergeCell ref="V13:V14"/>
    <mergeCell ref="W13:W14"/>
    <mergeCell ref="X13:X14"/>
    <mergeCell ref="AX13:AX14"/>
    <mergeCell ref="AY13:AY14"/>
    <mergeCell ref="AZ13:AZ14"/>
    <mergeCell ref="BA13:BA14"/>
    <mergeCell ref="BB13:BB14"/>
    <mergeCell ref="AB28:AE28"/>
    <mergeCell ref="D29:AE29"/>
    <mergeCell ref="D26:L26"/>
    <mergeCell ref="P26:S26"/>
    <mergeCell ref="D28:K28"/>
    <mergeCell ref="M28:S28"/>
    <mergeCell ref="U28:W28"/>
    <mergeCell ref="X28:AA28"/>
  </mergeCells>
  <conditionalFormatting sqref="Q15:Q22">
    <cfRule type="cellIs" dxfId="221" priority="34" operator="equal">
      <formula>"Muy Baja"</formula>
    </cfRule>
    <cfRule type="cellIs" dxfId="220" priority="30" operator="equal">
      <formula>"Muy Alta"</formula>
    </cfRule>
    <cfRule type="cellIs" dxfId="219" priority="31" operator="equal">
      <formula>"Alta"</formula>
    </cfRule>
    <cfRule type="cellIs" dxfId="218" priority="32" operator="equal">
      <formula>"Media"</formula>
    </cfRule>
    <cfRule type="cellIs" dxfId="217" priority="33" operator="equal">
      <formula>"Baja"</formula>
    </cfRule>
  </conditionalFormatting>
  <conditionalFormatting sqref="T15:T22">
    <cfRule type="containsText" dxfId="216" priority="15" operator="containsText" text="❌">
      <formula>NOT(ISERROR(SEARCH("❌",T15)))</formula>
    </cfRule>
  </conditionalFormatting>
  <conditionalFormatting sqref="U15:U22">
    <cfRule type="cellIs" dxfId="215" priority="29" operator="equal">
      <formula>"Leve"</formula>
    </cfRule>
    <cfRule type="cellIs" dxfId="214" priority="28" operator="equal">
      <formula>"Menor"</formula>
    </cfRule>
    <cfRule type="cellIs" dxfId="213" priority="27" operator="equal">
      <formula>"Moderado"</formula>
    </cfRule>
    <cfRule type="cellIs" dxfId="212" priority="26" operator="equal">
      <formula>"Mayor"</formula>
    </cfRule>
    <cfRule type="cellIs" dxfId="211" priority="25" operator="equal">
      <formula>"Catastrófico"</formula>
    </cfRule>
  </conditionalFormatting>
  <conditionalFormatting sqref="W15 W16:X16 W17:W22">
    <cfRule type="cellIs" dxfId="210" priority="24" operator="equal">
      <formula>"Bajo"</formula>
    </cfRule>
    <cfRule type="cellIs" dxfId="209" priority="23" operator="equal">
      <formula>"Moderado"</formula>
    </cfRule>
    <cfRule type="cellIs" dxfId="208" priority="22" operator="equal">
      <formula>"Alto"</formula>
    </cfRule>
    <cfRule type="cellIs" dxfId="207" priority="21" operator="equal">
      <formula>"Extremo"</formula>
    </cfRule>
  </conditionalFormatting>
  <conditionalFormatting sqref="AJ15:AJ22">
    <cfRule type="cellIs" dxfId="206" priority="10" operator="equal">
      <formula>"Muy Alta"</formula>
    </cfRule>
    <cfRule type="cellIs" dxfId="205" priority="11" operator="equal">
      <formula>"Alta"</formula>
    </cfRule>
    <cfRule type="cellIs" dxfId="204" priority="12" operator="equal">
      <formula>"Media"</formula>
    </cfRule>
    <cfRule type="cellIs" dxfId="203" priority="13" operator="equal">
      <formula>"Baja"</formula>
    </cfRule>
    <cfRule type="cellIs" dxfId="202" priority="14" operator="equal">
      <formula>"Muy Baja"</formula>
    </cfRule>
  </conditionalFormatting>
  <conditionalFormatting sqref="AK25:AK27">
    <cfRule type="cellIs" dxfId="201" priority="17" operator="equal">
      <formula>#REF!</formula>
    </cfRule>
    <cfRule type="cellIs" dxfId="200" priority="18" operator="equal">
      <formula>#REF!</formula>
    </cfRule>
  </conditionalFormatting>
  <conditionalFormatting sqref="AK25:AL27">
    <cfRule type="cellIs" dxfId="199" priority="16" stopIfTrue="1" operator="equal">
      <formula>#REF!</formula>
    </cfRule>
  </conditionalFormatting>
  <conditionalFormatting sqref="AL15:AL22">
    <cfRule type="cellIs" dxfId="198" priority="8" operator="equal">
      <formula>"Menor"</formula>
    </cfRule>
    <cfRule type="cellIs" dxfId="197" priority="7" operator="equal">
      <formula>"Moderado"</formula>
    </cfRule>
    <cfRule type="cellIs" dxfId="196" priority="6" operator="equal">
      <formula>"Mayor"</formula>
    </cfRule>
    <cfRule type="cellIs" dxfId="195" priority="5" operator="equal">
      <formula>"Catastrófico"</formula>
    </cfRule>
    <cfRule type="cellIs" dxfId="194" priority="9" operator="equal">
      <formula>"Leve"</formula>
    </cfRule>
  </conditionalFormatting>
  <conditionalFormatting sqref="AL25:AL27">
    <cfRule type="cellIs" dxfId="193" priority="19" stopIfTrue="1" operator="equal">
      <formula>#REF!</formula>
    </cfRule>
    <cfRule type="cellIs" dxfId="192" priority="20" stopIfTrue="1" operator="equal">
      <formula>#REF!</formula>
    </cfRule>
  </conditionalFormatting>
  <conditionalFormatting sqref="AN15:AN22">
    <cfRule type="cellIs" dxfId="191" priority="4" operator="equal">
      <formula>"Bajo"</formula>
    </cfRule>
    <cfRule type="cellIs" dxfId="190" priority="3" operator="equal">
      <formula>"Moderado"</formula>
    </cfRule>
    <cfRule type="cellIs" dxfId="189" priority="2" operator="equal">
      <formula>"Alto"</formula>
    </cfRule>
    <cfRule type="cellIs" dxfId="188" priority="1" operator="equal">
      <formula>"Extremo"</formula>
    </cfRule>
  </conditionalFormatting>
  <dataValidations count="7">
    <dataValidation type="list" allowBlank="1" showInputMessage="1" showErrorMessage="1" sqref="O15:O18" xr:uid="{34416EF2-B21D-4D9B-8E1D-D64CFBC19523}">
      <formula1>$O$15:$O$18</formula1>
    </dataValidation>
    <dataValidation type="list" allowBlank="1" showInputMessage="1" showErrorMessage="1" sqref="L25" xr:uid="{C84CB11A-8AC4-426D-82AB-FE123F4E7191}">
      <formula1>$L$182:$L$191</formula1>
    </dataValidation>
    <dataValidation type="list" allowBlank="1" showInputMessage="1" showErrorMessage="1" sqref="L27 AK27:AL27" xr:uid="{D55BD391-34C6-43BE-88DB-C8BFE51B9024}">
      <formula1>#REF!</formula1>
    </dataValidation>
    <dataValidation type="list" allowBlank="1" showInputMessage="1" showErrorMessage="1" sqref="AA27" xr:uid="{84CA27B0-FFDF-4AF0-ADB9-87500AC1B71C}">
      <formula1>$S$182:$S$183</formula1>
    </dataValidation>
    <dataValidation type="list" allowBlank="1" showInputMessage="1" showErrorMessage="1" sqref="P27" xr:uid="{AF2D81FB-A6D4-4071-8700-0B5CBAED2885}">
      <formula1>$P$182:$P$186</formula1>
    </dataValidation>
    <dataValidation type="list" allowBlank="1" showInputMessage="1" showErrorMessage="1" sqref="M27:O27" xr:uid="{1EBC5982-2508-453D-9C3C-C620F4AD32CC}">
      <formula1>$M$182:$M$186</formula1>
    </dataValidation>
    <dataValidation type="list" allowBlank="1" showInputMessage="1" showErrorMessage="1" sqref="AV27 AD27:AJ27 AB27 AR27 AT27" xr:uid="{502C31D7-0D1A-457A-A8A7-FC4891DFBCF9}">
      <formula1>$AR$182:$AR$189</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87840"/>
  </sheetPr>
  <dimension ref="A1:CB29"/>
  <sheetViews>
    <sheetView showGridLines="0" zoomScale="50" zoomScaleNormal="50" workbookViewId="0"/>
  </sheetViews>
  <sheetFormatPr baseColWidth="10" defaultColWidth="11.42578125" defaultRowHeight="14.25" x14ac:dyDescent="0.2"/>
  <cols>
    <col min="1" max="1" width="7.42578125" style="165" customWidth="1"/>
    <col min="2" max="2" width="7.7109375" style="165" customWidth="1"/>
    <col min="3" max="3" width="8.28515625" style="165" customWidth="1"/>
    <col min="4" max="4" width="6.140625" style="166" customWidth="1"/>
    <col min="5" max="5" width="14.7109375" style="166" customWidth="1"/>
    <col min="6" max="6" width="14" style="166" customWidth="1"/>
    <col min="7" max="7" width="16.5703125" style="166" customWidth="1"/>
    <col min="8" max="8" width="17.5703125" style="166" customWidth="1"/>
    <col min="9" max="9" width="29.42578125" style="166" customWidth="1"/>
    <col min="10" max="10" width="14" style="166" hidden="1" customWidth="1"/>
    <col min="11" max="11" width="26.85546875" style="166" customWidth="1"/>
    <col min="12" max="12" width="41.140625" style="165" customWidth="1"/>
    <col min="13" max="15" width="19" style="167" customWidth="1"/>
    <col min="16" max="16" width="17.7109375" style="165" customWidth="1"/>
    <col min="17" max="17" width="16.42578125" style="165" customWidth="1"/>
    <col min="18" max="18" width="6.28515625" style="165" bestFit="1" customWidth="1"/>
    <col min="19" max="19" width="27.28515625" style="165" bestFit="1" customWidth="1"/>
    <col min="20" max="20" width="17" style="165" customWidth="1"/>
    <col min="21" max="21" width="17.42578125" style="165" customWidth="1"/>
    <col min="22" max="22" width="6.28515625" style="165" bestFit="1" customWidth="1"/>
    <col min="23" max="23" width="16" style="165" customWidth="1"/>
    <col min="24" max="24" width="5.7109375" style="165" customWidth="1"/>
    <col min="25" max="25" width="51.28515625" style="165" customWidth="1"/>
    <col min="26" max="26" width="34.7109375" style="165" customWidth="1"/>
    <col min="27" max="27" width="15.140625" style="165" bestFit="1" customWidth="1"/>
    <col min="28" max="29" width="9.85546875" style="165" customWidth="1"/>
    <col min="30" max="30" width="5.42578125" style="165" customWidth="1"/>
    <col min="31" max="31" width="7.140625" style="165" customWidth="1"/>
    <col min="32" max="32" width="6.7109375" style="165" customWidth="1"/>
    <col min="33" max="33" width="12.5703125" style="165" customWidth="1"/>
    <col min="34" max="34" width="27.7109375" style="165" customWidth="1"/>
    <col min="35" max="35" width="13.7109375" style="165" customWidth="1"/>
    <col min="36" max="36" width="8.7109375" style="165" customWidth="1"/>
    <col min="37" max="37" width="10.42578125" style="165" customWidth="1"/>
    <col min="38" max="38" width="9.28515625" style="165" customWidth="1"/>
    <col min="39" max="39" width="9.140625" style="165" customWidth="1"/>
    <col min="40" max="40" width="8.42578125" style="165" customWidth="1"/>
    <col min="41" max="41" width="7.28515625" style="165" customWidth="1"/>
    <col min="42" max="42" width="23" style="165" customWidth="1"/>
    <col min="43" max="43" width="18.7109375" style="165" customWidth="1"/>
    <col min="44" max="44" width="16.7109375" style="165" customWidth="1"/>
    <col min="45" max="45" width="14.7109375" style="165" customWidth="1"/>
    <col min="46" max="46" width="36.5703125" style="165" customWidth="1"/>
    <col min="47" max="47" width="21" style="165" customWidth="1"/>
    <col min="48" max="48" width="17" style="165" customWidth="1"/>
    <col min="49" max="49" width="38.7109375" style="165" customWidth="1"/>
    <col min="50" max="51" width="20.7109375" style="165" customWidth="1"/>
    <col min="52" max="52" width="15.42578125" style="165" customWidth="1"/>
    <col min="53" max="53" width="19.5703125" style="165" customWidth="1"/>
    <col min="54" max="54" width="17.28515625" style="165" customWidth="1"/>
    <col min="55" max="16384" width="11.42578125" style="165"/>
  </cols>
  <sheetData>
    <row r="1" spans="1:80" ht="15" customHeight="1" thickBot="1" x14ac:dyDescent="0.25"/>
    <row r="2" spans="1:80" x14ac:dyDescent="0.2">
      <c r="D2" s="545" t="s">
        <v>299</v>
      </c>
      <c r="E2" s="546"/>
      <c r="F2" s="546"/>
      <c r="G2" s="546"/>
      <c r="H2" s="546"/>
      <c r="I2" s="553" t="s">
        <v>203</v>
      </c>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567" t="s">
        <v>323</v>
      </c>
      <c r="BB2" s="558"/>
    </row>
    <row r="3" spans="1:80" x14ac:dyDescent="0.2">
      <c r="D3" s="547"/>
      <c r="E3" s="548"/>
      <c r="F3" s="548"/>
      <c r="G3" s="548"/>
      <c r="H3" s="548"/>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9" t="s">
        <v>240</v>
      </c>
      <c r="BB3" s="559"/>
    </row>
    <row r="4" spans="1:80" x14ac:dyDescent="0.2">
      <c r="D4" s="547"/>
      <c r="E4" s="548"/>
      <c r="F4" s="548"/>
      <c r="G4" s="548"/>
      <c r="H4" s="548"/>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9" t="s">
        <v>333</v>
      </c>
      <c r="BB4" s="559"/>
    </row>
    <row r="5" spans="1:80" ht="25.9" customHeight="1" thickBot="1" x14ac:dyDescent="0.25">
      <c r="D5" s="549"/>
      <c r="E5" s="550"/>
      <c r="F5" s="550"/>
      <c r="G5" s="550"/>
      <c r="H5" s="550"/>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553"/>
      <c r="AZ5" s="553"/>
      <c r="BA5" s="559" t="s">
        <v>204</v>
      </c>
      <c r="BB5" s="559"/>
    </row>
    <row r="6" spans="1:80" ht="7.15" customHeight="1" x14ac:dyDescent="0.25">
      <c r="D6" s="119"/>
      <c r="E6" s="120"/>
      <c r="F6" s="120"/>
      <c r="G6" s="120"/>
      <c r="H6" s="120"/>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22"/>
      <c r="BB6" s="121"/>
    </row>
    <row r="7" spans="1:80" ht="26.25" customHeight="1" x14ac:dyDescent="0.2">
      <c r="D7" s="538" t="s">
        <v>41</v>
      </c>
      <c r="E7" s="539"/>
      <c r="F7" s="539"/>
      <c r="G7" s="540"/>
      <c r="H7" s="564" t="s">
        <v>335</v>
      </c>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6"/>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row>
    <row r="8" spans="1:80" ht="30" customHeight="1" x14ac:dyDescent="0.2">
      <c r="D8" s="538" t="s">
        <v>128</v>
      </c>
      <c r="E8" s="539"/>
      <c r="F8" s="539"/>
      <c r="G8" s="540"/>
      <c r="H8" s="541" t="s">
        <v>336</v>
      </c>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3"/>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row>
    <row r="9" spans="1:80" ht="24" customHeight="1" x14ac:dyDescent="0.2">
      <c r="D9" s="538" t="s">
        <v>42</v>
      </c>
      <c r="E9" s="539"/>
      <c r="F9" s="539"/>
      <c r="G9" s="540"/>
      <c r="H9" s="541" t="s">
        <v>337</v>
      </c>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7"/>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row>
    <row r="10" spans="1:80" s="170" customFormat="1" ht="24" customHeight="1" x14ac:dyDescent="0.2">
      <c r="D10" s="171"/>
      <c r="E10" s="172"/>
      <c r="F10" s="173"/>
      <c r="G10" s="173"/>
      <c r="H10" s="171"/>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5"/>
      <c r="AW10" s="175"/>
      <c r="AX10" s="175"/>
      <c r="AY10" s="175"/>
      <c r="AZ10" s="175"/>
      <c r="BA10" s="175"/>
      <c r="BB10" s="175"/>
    </row>
    <row r="11" spans="1:80" s="170" customFormat="1" ht="24" customHeight="1" x14ac:dyDescent="0.25">
      <c r="A11" s="521" t="s">
        <v>264</v>
      </c>
      <c r="B11" s="521"/>
      <c r="C11" s="522"/>
      <c r="D11" s="523" t="s">
        <v>302</v>
      </c>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5" t="s">
        <v>300</v>
      </c>
      <c r="AW11" s="526"/>
      <c r="AX11" s="526"/>
      <c r="AY11" s="527"/>
      <c r="AZ11" s="528" t="s">
        <v>301</v>
      </c>
      <c r="BA11" s="529"/>
      <c r="BB11" s="530"/>
    </row>
    <row r="12" spans="1:80" ht="15.75" x14ac:dyDescent="0.2">
      <c r="A12" s="580"/>
      <c r="B12" s="580"/>
      <c r="C12" s="581"/>
      <c r="D12" s="511" t="s">
        <v>136</v>
      </c>
      <c r="E12" s="511"/>
      <c r="F12" s="511"/>
      <c r="G12" s="511"/>
      <c r="H12" s="511"/>
      <c r="I12" s="531"/>
      <c r="J12" s="531"/>
      <c r="K12" s="531"/>
      <c r="L12" s="531"/>
      <c r="M12" s="531"/>
      <c r="N12" s="531"/>
      <c r="O12" s="531"/>
      <c r="P12" s="531"/>
      <c r="Q12" s="531" t="s">
        <v>137</v>
      </c>
      <c r="R12" s="531"/>
      <c r="S12" s="531"/>
      <c r="T12" s="531"/>
      <c r="U12" s="531"/>
      <c r="V12" s="531"/>
      <c r="W12" s="531"/>
      <c r="X12" s="531" t="s">
        <v>138</v>
      </c>
      <c r="Y12" s="531"/>
      <c r="Z12" s="531"/>
      <c r="AA12" s="531"/>
      <c r="AB12" s="531"/>
      <c r="AC12" s="531"/>
      <c r="AD12" s="531"/>
      <c r="AE12" s="531"/>
      <c r="AF12" s="531"/>
      <c r="AG12" s="531"/>
      <c r="AH12" s="532" t="s">
        <v>17</v>
      </c>
      <c r="AI12" s="531" t="s">
        <v>139</v>
      </c>
      <c r="AJ12" s="531"/>
      <c r="AK12" s="531"/>
      <c r="AL12" s="531"/>
      <c r="AM12" s="531"/>
      <c r="AN12" s="531"/>
      <c r="AO12" s="531"/>
      <c r="AP12" s="535" t="s">
        <v>33</v>
      </c>
      <c r="AQ12" s="536"/>
      <c r="AR12" s="536"/>
      <c r="AS12" s="536"/>
      <c r="AT12" s="536"/>
      <c r="AU12" s="536"/>
      <c r="AV12" s="536"/>
      <c r="AW12" s="536"/>
      <c r="AX12" s="536"/>
      <c r="AY12" s="536"/>
      <c r="AZ12" s="536"/>
      <c r="BA12" s="536"/>
      <c r="BB12" s="536"/>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row>
    <row r="13" spans="1:80" ht="27.6" customHeight="1" x14ac:dyDescent="0.2">
      <c r="D13" s="537" t="s">
        <v>0</v>
      </c>
      <c r="E13" s="510" t="s">
        <v>309</v>
      </c>
      <c r="F13" s="176"/>
      <c r="G13" s="176"/>
      <c r="H13" s="511" t="s">
        <v>222</v>
      </c>
      <c r="I13" s="510" t="s">
        <v>305</v>
      </c>
      <c r="J13" s="177"/>
      <c r="K13" s="510" t="s">
        <v>306</v>
      </c>
      <c r="L13" s="511" t="s">
        <v>1</v>
      </c>
      <c r="M13" s="510" t="s">
        <v>48</v>
      </c>
      <c r="N13" s="562" t="s">
        <v>369</v>
      </c>
      <c r="O13" s="563"/>
      <c r="P13" s="510" t="s">
        <v>132</v>
      </c>
      <c r="Q13" s="510" t="s">
        <v>32</v>
      </c>
      <c r="R13" s="511" t="s">
        <v>5</v>
      </c>
      <c r="S13" s="510" t="s">
        <v>85</v>
      </c>
      <c r="T13" s="510" t="s">
        <v>90</v>
      </c>
      <c r="U13" s="510" t="s">
        <v>43</v>
      </c>
      <c r="V13" s="511" t="s">
        <v>5</v>
      </c>
      <c r="W13" s="510" t="s">
        <v>46</v>
      </c>
      <c r="X13" s="512" t="s">
        <v>10</v>
      </c>
      <c r="Y13" s="510" t="s">
        <v>158</v>
      </c>
      <c r="Z13" s="510" t="s">
        <v>341</v>
      </c>
      <c r="AA13" s="510" t="s">
        <v>11</v>
      </c>
      <c r="AB13" s="573" t="s">
        <v>353</v>
      </c>
      <c r="AC13" s="574"/>
      <c r="AD13" s="573" t="s">
        <v>342</v>
      </c>
      <c r="AE13" s="574"/>
      <c r="AF13" s="574"/>
      <c r="AG13" s="575"/>
      <c r="AH13" s="533"/>
      <c r="AI13" s="512" t="s">
        <v>135</v>
      </c>
      <c r="AJ13" s="512" t="s">
        <v>44</v>
      </c>
      <c r="AK13" s="512" t="s">
        <v>5</v>
      </c>
      <c r="AL13" s="512" t="s">
        <v>45</v>
      </c>
      <c r="AM13" s="512" t="s">
        <v>5</v>
      </c>
      <c r="AN13" s="512" t="s">
        <v>47</v>
      </c>
      <c r="AO13" s="512" t="s">
        <v>28</v>
      </c>
      <c r="AP13" s="510" t="s">
        <v>33</v>
      </c>
      <c r="AQ13" s="510" t="s">
        <v>34</v>
      </c>
      <c r="AR13" s="510" t="s">
        <v>35</v>
      </c>
      <c r="AS13" s="510" t="s">
        <v>36</v>
      </c>
      <c r="AT13" s="510" t="s">
        <v>210</v>
      </c>
      <c r="AU13" s="510" t="s">
        <v>37</v>
      </c>
      <c r="AV13" s="518" t="s">
        <v>36</v>
      </c>
      <c r="AW13" s="505" t="s">
        <v>211</v>
      </c>
      <c r="AX13" s="505" t="s">
        <v>37</v>
      </c>
      <c r="AY13" s="507" t="s">
        <v>241</v>
      </c>
      <c r="AZ13" s="509" t="s">
        <v>36</v>
      </c>
      <c r="BA13" s="509" t="s">
        <v>212</v>
      </c>
      <c r="BB13" s="509" t="s">
        <v>37</v>
      </c>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row>
    <row r="14" spans="1:80" s="181" customFormat="1" ht="65.45" customHeight="1" x14ac:dyDescent="0.25">
      <c r="A14" s="178"/>
      <c r="B14" s="178"/>
      <c r="C14" s="178"/>
      <c r="D14" s="537"/>
      <c r="E14" s="510"/>
      <c r="F14" s="176" t="s">
        <v>2</v>
      </c>
      <c r="G14" s="177" t="s">
        <v>314</v>
      </c>
      <c r="H14" s="511"/>
      <c r="I14" s="510"/>
      <c r="J14" s="177" t="s">
        <v>700</v>
      </c>
      <c r="K14" s="510"/>
      <c r="L14" s="511"/>
      <c r="M14" s="510"/>
      <c r="N14" s="213" t="s">
        <v>238</v>
      </c>
      <c r="O14" s="213" t="s">
        <v>239</v>
      </c>
      <c r="P14" s="510"/>
      <c r="Q14" s="510"/>
      <c r="R14" s="511"/>
      <c r="S14" s="510"/>
      <c r="T14" s="510"/>
      <c r="U14" s="511"/>
      <c r="V14" s="511"/>
      <c r="W14" s="510"/>
      <c r="X14" s="512"/>
      <c r="Y14" s="510"/>
      <c r="Z14" s="510"/>
      <c r="AA14" s="510"/>
      <c r="AB14" s="179" t="s">
        <v>12</v>
      </c>
      <c r="AC14" s="179" t="s">
        <v>16</v>
      </c>
      <c r="AD14" s="179" t="s">
        <v>27</v>
      </c>
      <c r="AE14" s="179" t="s">
        <v>17</v>
      </c>
      <c r="AF14" s="179" t="s">
        <v>20</v>
      </c>
      <c r="AG14" s="179" t="s">
        <v>23</v>
      </c>
      <c r="AH14" s="534"/>
      <c r="AI14" s="512"/>
      <c r="AJ14" s="512"/>
      <c r="AK14" s="512"/>
      <c r="AL14" s="512"/>
      <c r="AM14" s="512"/>
      <c r="AN14" s="512"/>
      <c r="AO14" s="512"/>
      <c r="AP14" s="510"/>
      <c r="AQ14" s="510"/>
      <c r="AR14" s="510"/>
      <c r="AS14" s="510"/>
      <c r="AT14" s="510"/>
      <c r="AU14" s="510"/>
      <c r="AV14" s="519"/>
      <c r="AW14" s="506"/>
      <c r="AX14" s="506"/>
      <c r="AY14" s="508"/>
      <c r="AZ14" s="509"/>
      <c r="BA14" s="509"/>
      <c r="BB14" s="509"/>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row>
    <row r="15" spans="1:80" ht="117.75" customHeight="1" x14ac:dyDescent="0.2">
      <c r="D15" s="471" t="s">
        <v>696</v>
      </c>
      <c r="E15" s="473" t="s">
        <v>217</v>
      </c>
      <c r="F15" s="475" t="s">
        <v>129</v>
      </c>
      <c r="G15" s="473" t="s">
        <v>311</v>
      </c>
      <c r="H15" s="473" t="s">
        <v>225</v>
      </c>
      <c r="I15" s="450" t="s">
        <v>338</v>
      </c>
      <c r="J15" s="182"/>
      <c r="K15" s="450" t="s">
        <v>339</v>
      </c>
      <c r="L15" s="456" t="s">
        <v>340</v>
      </c>
      <c r="M15" s="450" t="s">
        <v>355</v>
      </c>
      <c r="N15" s="450" t="s">
        <v>232</v>
      </c>
      <c r="O15" s="450" t="s">
        <v>236</v>
      </c>
      <c r="P15" s="450">
        <v>200</v>
      </c>
      <c r="Q15" s="448" t="str">
        <f>IF(P15&lt;=0,"",IF(P15&lt;=2,"Muy Baja",IF(P15&lt;=24,"Baja",IF(P15&lt;=500,"Media",IF(P15&lt;=5000,"Alta","Muy Alta")))))</f>
        <v>Media</v>
      </c>
      <c r="R15" s="460">
        <f>IF(Q15="","",IF(Q15="Muy Baja",0.2,IF(Q15="Baja",0.4,IF(Q15="Media",0.6,IF(Q15="Alta",0.8,IF(Q15="Muy Alta",1,))))))</f>
        <v>0.6</v>
      </c>
      <c r="S15" s="464" t="s">
        <v>150</v>
      </c>
      <c r="T15" s="460" t="str">
        <f>IF(NOT(ISERROR(MATCH(S15,'Tabla Impacto'!$B$221:$B$223,0))),'Tabla Impacto'!$F$223&amp;"Por favor no seleccionar los criterios de impacto(Afectación Económica o presupuestal y Pérdida Reputacional)",S15)</f>
        <v xml:space="preserve">     El riesgo afecta la imagen de la entidad con algunos usuarios de relevancia frente al logro de los objetivos</v>
      </c>
      <c r="U15" s="448" t="str">
        <f>IF(OR(T15='Tabla Impacto'!$C$11,T15='Tabla Impacto'!$D$11),"Leve",IF(OR(T15='Tabla Impacto'!$C$12,T15='Tabla Impacto'!$D$12),"Menor",IF(OR(T15='Tabla Impacto'!$C$13,T15='Tabla Impacto'!$D$13),"Moderado",IF(OR(T15='Tabla Impacto'!$C$14,T15='Tabla Impacto'!$D$14),"Mayor",IF(OR(T15='Tabla Impacto'!$C$15,T15='Tabla Impacto'!$D$15),"Catastrófico","")))))</f>
        <v>Moderado</v>
      </c>
      <c r="V15" s="460">
        <f>IF(U15="","",IF(U15="Leve",0.2,IF(U15="Menor",0.4,IF(U15="Moderado",0.6,IF(U15="Mayor",0.8,IF(U15="Catastrófico",1,))))))</f>
        <v>0.6</v>
      </c>
      <c r="W15" s="448" t="str">
        <f>IF(OR(AND(Q15="Muy Baja",U15="Leve"),AND(Q15="Muy Baja",U15="Menor"),AND(Q15="Baja",U15="Leve")),"Bajo",IF(OR(AND(Q15="Muy baja",U15="Moderado"),AND(Q15="Baja",U15="Menor"),AND(Q15="Baja",U15="Moderado"),AND(Q15="Media",U15="Leve"),AND(Q15="Media",U15="Menor"),AND(Q15="Media",U15="Moderado"),AND(Q15="Alta",U15="Leve"),AND(Q15="Alta",U15="Menor")),"Moderado",IF(OR(AND(Q15="Muy Baja",U15="Mayor"),AND(Q15="Baja",U15="Mayor"),AND(Q15="Media",U15="Mayor"),AND(Q15="Alta",U15="Moderado"),AND(Q15="Alta",U15="Mayor"),AND(Q15="Muy Alta",U15="Leve"),AND(Q15="Muy Alta",U15="Menor"),AND(Q15="Muy Alta",U15="Moderado"),AND(Q15="Muy Alta",U15="Mayor")),"Alto",IF(OR(AND(Q15="Muy Baja",U15="Catastrófico"),AND(Q15="Baja",U15="Catastrófico"),AND(Q15="Media",U15="Catastrófico"),AND(Q15="Alta",U15="Catastrófico"),AND(Q15="Muy Alta",U15="Catastrófico")),"Extremo",""))))</f>
        <v>Moderado</v>
      </c>
      <c r="X15" s="183">
        <v>1</v>
      </c>
      <c r="Y15" s="184" t="s">
        <v>588</v>
      </c>
      <c r="Z15" s="184" t="s">
        <v>370</v>
      </c>
      <c r="AA15" s="185" t="str">
        <f>IF(OR(AB15="Preventivo",AB15="Detectivo"),"Probabilidad",IF(AB15="Correctivo","Impacto",""))</f>
        <v>Probabilidad</v>
      </c>
      <c r="AB15" s="186" t="s">
        <v>13</v>
      </c>
      <c r="AC15" s="186" t="s">
        <v>8</v>
      </c>
      <c r="AD15" s="187" t="str">
        <f t="shared" ref="AD15:AD22" si="0">IF(AND(AB15="Preventivo",AC15="Automático"),"50%",IF(AND(AB15="Preventivo",AC15="Manual"),"40%",IF(AND(AB15="Detectivo",AC15="Automático"),"40%",IF(AND(AB15="Detectivo",AC15="Manual"),"30%",IF(AND(AB15="Correctivo",AC15="Automático"),"35%",IF(AND(AB15="Correctivo",AC15="Manual"),"25%",""))))))</f>
        <v>40%</v>
      </c>
      <c r="AE15" s="186" t="s">
        <v>18</v>
      </c>
      <c r="AF15" s="186" t="s">
        <v>21</v>
      </c>
      <c r="AG15" s="186" t="s">
        <v>117</v>
      </c>
      <c r="AH15" s="209" t="s">
        <v>371</v>
      </c>
      <c r="AI15" s="188">
        <f>IFERROR(IF(AA15="Probabilidad",(R15-(+R15*AD15)),IF(AA15="Impacto",R15,"")),"")</f>
        <v>0.36</v>
      </c>
      <c r="AJ15" s="570" t="str">
        <f>IFERROR(IF(AI15="","",IF(AI15&lt;=0.2,"Muy Baja",IF(AI15&lt;=0.4,"Baja",IF(AI15&lt;=0.6,"Media",IF(AI15&lt;=0.8,"Alta","Muy Alta"))))),"")</f>
        <v>Baja</v>
      </c>
      <c r="AK15" s="189">
        <f t="shared" ref="AK15:AK22" si="1">+AI15</f>
        <v>0.36</v>
      </c>
      <c r="AL15" s="570" t="str">
        <f>IFERROR(IF(AM15="","",IF(AM15&lt;=0.2,"Leve",IF(AM15&lt;=0.4,"Menor",IF(AM15&lt;=0.6,"Moderado",IF(AM15&lt;=0.8,"Mayor","Catastrófico"))))),"")</f>
        <v>Moderado</v>
      </c>
      <c r="AM15" s="189">
        <f>IFERROR(IF(AA15="Impacto",(V15-(+V15*AD15)),IF(AA15="Probabilidad",V15,"")),"")</f>
        <v>0.6</v>
      </c>
      <c r="AN15" s="570" t="str">
        <f t="shared" ref="AN15:AN22" si="2">IFERROR(IF(OR(AND(AJ15="Muy Baja",AL15="Leve"),AND(AJ15="Muy Baja",AL15="Menor"),AND(AJ15="Baja",AL15="Leve")),"Bajo",IF(OR(AND(AJ15="Muy baja",AL15="Moderado"),AND(AJ15="Baja",AL15="Menor"),AND(AJ15="Baja",AL15="Moderado"),AND(AJ15="Media",AL15="Leve"),AND(AJ15="Media",AL15="Menor"),AND(AJ15="Media",AL15="Moderado"),AND(AJ15="Alta",AL15="Leve"),AND(AJ15="Alta",AL15="Menor")),"Moderado",IF(OR(AND(AJ15="Muy Baja",AL15="Mayor"),AND(AJ15="Baja",AL15="Mayor"),AND(AJ15="Media",AL15="Mayor"),AND(AJ15="Alta",AL15="Moderado"),AND(AJ15="Alta",AL15="Mayor"),AND(AJ15="Muy Alta",AL15="Leve"),AND(AJ15="Muy Alta",AL15="Menor"),AND(AJ15="Muy Alta",AL15="Moderado"),AND(AJ15="Muy Alta",AL15="Mayor")),"Alto",IF(OR(AND(AJ15="Muy Baja",AL15="Catastrófico"),AND(AJ15="Baja",AL15="Catastrófico"),AND(AJ15="Media",AL15="Catastrófico"),AND(AJ15="Alta",AL15="Catastrófico"),AND(AJ15="Muy Alta",AL15="Catastrófico")),"Extremo","")))),"")</f>
        <v>Moderado</v>
      </c>
      <c r="AO15" s="190" t="s">
        <v>30</v>
      </c>
      <c r="AP15" s="450" t="s">
        <v>356</v>
      </c>
      <c r="AQ15" s="450" t="s">
        <v>257</v>
      </c>
      <c r="AR15" s="452">
        <v>45687</v>
      </c>
      <c r="AS15" s="568">
        <v>45762</v>
      </c>
      <c r="AT15" s="182" t="s">
        <v>701</v>
      </c>
      <c r="AU15" s="182" t="s">
        <v>39</v>
      </c>
      <c r="AV15" s="191">
        <v>45919</v>
      </c>
      <c r="AW15" s="182" t="s">
        <v>704</v>
      </c>
      <c r="AX15" s="182" t="s">
        <v>39</v>
      </c>
      <c r="AY15" s="400" t="s">
        <v>712</v>
      </c>
      <c r="AZ15" s="191"/>
      <c r="BA15" s="182"/>
      <c r="BB15" s="182"/>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row>
    <row r="16" spans="1:80" ht="87" customHeight="1" x14ac:dyDescent="0.2">
      <c r="D16" s="472"/>
      <c r="E16" s="474"/>
      <c r="F16" s="475"/>
      <c r="G16" s="474"/>
      <c r="H16" s="474"/>
      <c r="I16" s="451"/>
      <c r="J16" s="182"/>
      <c r="K16" s="451"/>
      <c r="L16" s="457"/>
      <c r="M16" s="451"/>
      <c r="N16" s="451"/>
      <c r="O16" s="451"/>
      <c r="P16" s="451"/>
      <c r="Q16" s="449"/>
      <c r="R16" s="461"/>
      <c r="S16" s="465"/>
      <c r="T16" s="461"/>
      <c r="U16" s="449"/>
      <c r="V16" s="461"/>
      <c r="W16" s="449"/>
      <c r="X16" s="183">
        <v>2</v>
      </c>
      <c r="Y16" s="184" t="s">
        <v>583</v>
      </c>
      <c r="Z16" s="184" t="s">
        <v>372</v>
      </c>
      <c r="AA16" s="185" t="str">
        <f>IF(OR(AB16="Preventivo",AB16="Detectivo"),"Probabilidad",IF(AB16="Correctivo","Impacto",""))</f>
        <v>Probabilidad</v>
      </c>
      <c r="AB16" s="186" t="s">
        <v>13</v>
      </c>
      <c r="AC16" s="186" t="s">
        <v>8</v>
      </c>
      <c r="AD16" s="187" t="str">
        <f t="shared" si="0"/>
        <v>40%</v>
      </c>
      <c r="AE16" s="186" t="s">
        <v>18</v>
      </c>
      <c r="AF16" s="186" t="s">
        <v>21</v>
      </c>
      <c r="AG16" s="186" t="s">
        <v>117</v>
      </c>
      <c r="AH16" s="209" t="s">
        <v>373</v>
      </c>
      <c r="AI16" s="224">
        <f>IFERROR(IF(AND(AA15="Probabilidad",AA16="Probabilidad"),(AK15-(+AK15*AD16)),IF(AA16="Probabilidad",(S15-(+S15*AA16)),IF(AA16="Impacto",AK15,""))),"")</f>
        <v>0.216</v>
      </c>
      <c r="AJ16" s="571"/>
      <c r="AK16" s="189">
        <f t="shared" si="1"/>
        <v>0.216</v>
      </c>
      <c r="AL16" s="571"/>
      <c r="AM16" s="189">
        <f>IFERROR(IF(AA16="Impacto",(V15-(+V15*AD16)),IF(AA16="Probabilidad",V15,"")),"")</f>
        <v>0.6</v>
      </c>
      <c r="AN16" s="571"/>
      <c r="AO16" s="190" t="s">
        <v>30</v>
      </c>
      <c r="AP16" s="451"/>
      <c r="AQ16" s="451"/>
      <c r="AR16" s="453"/>
      <c r="AS16" s="569"/>
      <c r="AT16" s="182" t="s">
        <v>582</v>
      </c>
      <c r="AU16" s="182" t="s">
        <v>39</v>
      </c>
      <c r="AV16" s="191">
        <v>45919</v>
      </c>
      <c r="AW16" s="182" t="s">
        <v>705</v>
      </c>
      <c r="AX16" s="182" t="s">
        <v>39</v>
      </c>
      <c r="AY16" s="400" t="s">
        <v>706</v>
      </c>
      <c r="AZ16" s="191"/>
      <c r="BA16" s="182"/>
      <c r="BB16" s="182"/>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row>
    <row r="17" spans="4:80" ht="130.5" customHeight="1" x14ac:dyDescent="0.2">
      <c r="D17" s="471" t="s">
        <v>697</v>
      </c>
      <c r="E17" s="473" t="s">
        <v>217</v>
      </c>
      <c r="F17" s="476" t="s">
        <v>129</v>
      </c>
      <c r="G17" s="473" t="s">
        <v>311</v>
      </c>
      <c r="H17" s="471" t="s">
        <v>225</v>
      </c>
      <c r="I17" s="450" t="s">
        <v>343</v>
      </c>
      <c r="J17" s="182"/>
      <c r="K17" s="450" t="s">
        <v>344</v>
      </c>
      <c r="L17" s="456" t="s">
        <v>345</v>
      </c>
      <c r="M17" s="450" t="s">
        <v>355</v>
      </c>
      <c r="N17" s="450" t="s">
        <v>232</v>
      </c>
      <c r="O17" s="450" t="s">
        <v>235</v>
      </c>
      <c r="P17" s="458">
        <v>30</v>
      </c>
      <c r="Q17" s="448" t="str">
        <f t="shared" ref="Q17:Q22" si="3">IF(P17&lt;=0,"",IF(P17&lt;=2,"Muy Baja",IF(P17&lt;=24,"Baja",IF(P17&lt;=500,"Media",IF(P17&lt;=5000,"Alta","Muy Alta")))))</f>
        <v>Media</v>
      </c>
      <c r="R17" s="460">
        <f t="shared" ref="R17:R22" si="4">IF(Q17="","",IF(Q17="Muy Baja",0.2,IF(Q17="Baja",0.4,IF(Q17="Media",0.6,IF(Q17="Alta",0.8,IF(Q17="Muy Alta",1,))))))</f>
        <v>0.6</v>
      </c>
      <c r="S17" s="464" t="s">
        <v>150</v>
      </c>
      <c r="T17" s="460" t="str">
        <f>IF(NOT(ISERROR(MATCH(S17,'Tabla Impacto'!$B$221:$B$223,0))),'Tabla Impacto'!$F$223&amp;"Por favor no seleccionar los criterios de impacto(Afectación Económica o presupuestal y Pérdida Reputacional)",S17)</f>
        <v xml:space="preserve">     El riesgo afecta la imagen de la entidad con algunos usuarios de relevancia frente al logro de los objetivos</v>
      </c>
      <c r="U17" s="448" t="str">
        <f>IF(OR(T17='Tabla Impacto'!$C$11,T17='Tabla Impacto'!$D$11),"Leve",IF(OR(T17='Tabla Impacto'!$C$12,T17='Tabla Impacto'!$D$12),"Menor",IF(OR(T17='Tabla Impacto'!$C$13,T17='Tabla Impacto'!$D$13),"Moderado",IF(OR(T17='Tabla Impacto'!$C$14,T17='Tabla Impacto'!$D$14),"Mayor",IF(OR(T17='Tabla Impacto'!$C$15,T17='Tabla Impacto'!$D$15),"Catastrófico","")))))</f>
        <v>Moderado</v>
      </c>
      <c r="V17" s="460">
        <f t="shared" ref="V17:V22" si="5">IF(U17="","",IF(U17="Leve",0.2,IF(U17="Menor",0.4,IF(U17="Moderado",0.6,IF(U17="Mayor",0.8,IF(U17="Catastrófico",1,))))))</f>
        <v>0.6</v>
      </c>
      <c r="W17" s="578" t="str">
        <f t="shared" ref="W17:W22" si="6">IF(OR(AND(Q17="Muy Baja",U17="Leve"),AND(Q17="Muy Baja",U17="Menor"),AND(Q17="Baja",U17="Leve")),"Bajo",IF(OR(AND(Q17="Muy baja",U17="Moderado"),AND(Q17="Baja",U17="Menor"),AND(Q17="Baja",U17="Moderado"),AND(Q17="Media",U17="Leve"),AND(Q17="Media",U17="Menor"),AND(Q17="Media",U17="Moderado"),AND(Q17="Alta",U17="Leve"),AND(Q17="Alta",U17="Menor")),"Moderado",IF(OR(AND(Q17="Muy Baja",U17="Mayor"),AND(Q17="Baja",U17="Mayor"),AND(Q17="Media",U17="Mayor"),AND(Q17="Alta",U17="Moderado"),AND(Q17="Alta",U17="Mayor"),AND(Q17="Muy Alta",U17="Leve"),AND(Q17="Muy Alta",U17="Menor"),AND(Q17="Muy Alta",U17="Moderado"),AND(Q17="Muy Alta",U17="Mayor")),"Alto",IF(OR(AND(Q17="Muy Baja",U17="Catastrófico"),AND(Q17="Baja",U17="Catastrófico"),AND(Q17="Media",U17="Catastrófico"),AND(Q17="Alta",U17="Catastrófico"),AND(Q17="Muy Alta",U17="Catastrófico")),"Extremo",""))))</f>
        <v>Moderado</v>
      </c>
      <c r="X17" s="196">
        <v>1</v>
      </c>
      <c r="Y17" s="184" t="s">
        <v>584</v>
      </c>
      <c r="Z17" s="158" t="s">
        <v>374</v>
      </c>
      <c r="AA17" s="185" t="str">
        <f t="shared" ref="AA17:AA22" si="7">IF(OR(AB17="Preventivo",AB17="Detectivo"),"Probabilidad",IF(AB17="Correctivo","Impacto",""))</f>
        <v>Probabilidad</v>
      </c>
      <c r="AB17" s="197" t="s">
        <v>13</v>
      </c>
      <c r="AC17" s="197" t="s">
        <v>8</v>
      </c>
      <c r="AD17" s="198" t="str">
        <f t="shared" si="0"/>
        <v>40%</v>
      </c>
      <c r="AE17" s="197" t="s">
        <v>18</v>
      </c>
      <c r="AF17" s="197" t="s">
        <v>21</v>
      </c>
      <c r="AG17" s="197" t="s">
        <v>117</v>
      </c>
      <c r="AH17" s="223" t="s">
        <v>375</v>
      </c>
      <c r="AI17" s="199">
        <f t="shared" ref="AI17:AI19" si="8">IFERROR(IF(AA17="Probabilidad",(R17-(+R17*AD17)),IF(AA17="Impacto",R17,"")),"")</f>
        <v>0.36</v>
      </c>
      <c r="AJ17" s="586" t="str">
        <f t="shared" ref="AJ17:AJ22" si="9">IFERROR(IF(AI17="","",IF(AI17&lt;=0.2,"Muy Baja",IF(AI17&lt;=0.4,"Baja",IF(AI17&lt;=0.6,"Media",IF(AI17&lt;=0.8,"Alta","Muy Alta"))))),"")</f>
        <v>Baja</v>
      </c>
      <c r="AK17" s="200">
        <f t="shared" si="1"/>
        <v>0.36</v>
      </c>
      <c r="AL17" s="586" t="str">
        <f t="shared" ref="AL17:AL22" si="10">IFERROR(IF(AM17="","",IF(AM17&lt;=0.2,"Leve",IF(AM17&lt;=0.4,"Menor",IF(AM17&lt;=0.6,"Moderado",IF(AM17&lt;=0.8,"Mayor","Catastrófico"))))),"")</f>
        <v>Moderado</v>
      </c>
      <c r="AM17" s="200">
        <f>IFERROR(IF(AA17="Impacto",(V17-(+V17*AD17)),IF(AA17="Probabilidad",V17,"")),"")</f>
        <v>0.6</v>
      </c>
      <c r="AN17" s="584" t="str">
        <f t="shared" si="2"/>
        <v>Moderado</v>
      </c>
      <c r="AO17" s="197" t="s">
        <v>30</v>
      </c>
      <c r="AP17" s="454" t="s">
        <v>359</v>
      </c>
      <c r="AQ17" s="454" t="s">
        <v>351</v>
      </c>
      <c r="AR17" s="452">
        <v>45687</v>
      </c>
      <c r="AS17" s="568">
        <v>45762</v>
      </c>
      <c r="AT17" s="182" t="s">
        <v>589</v>
      </c>
      <c r="AU17" s="182" t="s">
        <v>39</v>
      </c>
      <c r="AV17" s="201">
        <v>45919</v>
      </c>
      <c r="AW17" s="182" t="s">
        <v>707</v>
      </c>
      <c r="AX17" s="192" t="s">
        <v>39</v>
      </c>
      <c r="AY17" s="400" t="s">
        <v>712</v>
      </c>
      <c r="AZ17" s="201"/>
      <c r="BA17" s="182"/>
      <c r="BB17" s="192"/>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row>
    <row r="18" spans="4:80" ht="132.75" customHeight="1" x14ac:dyDescent="0.2">
      <c r="D18" s="472"/>
      <c r="E18" s="474"/>
      <c r="F18" s="476"/>
      <c r="G18" s="474"/>
      <c r="H18" s="472"/>
      <c r="I18" s="451"/>
      <c r="J18" s="182"/>
      <c r="K18" s="451"/>
      <c r="L18" s="457"/>
      <c r="M18" s="451"/>
      <c r="N18" s="451"/>
      <c r="O18" s="451"/>
      <c r="P18" s="459"/>
      <c r="Q18" s="449"/>
      <c r="R18" s="461"/>
      <c r="S18" s="465"/>
      <c r="T18" s="461"/>
      <c r="U18" s="449"/>
      <c r="V18" s="461"/>
      <c r="W18" s="579"/>
      <c r="X18" s="196">
        <v>2</v>
      </c>
      <c r="Y18" s="184" t="s">
        <v>585</v>
      </c>
      <c r="Z18" s="158" t="s">
        <v>376</v>
      </c>
      <c r="AA18" s="185" t="str">
        <f t="shared" si="7"/>
        <v>Probabilidad</v>
      </c>
      <c r="AB18" s="197" t="s">
        <v>13</v>
      </c>
      <c r="AC18" s="197" t="s">
        <v>8</v>
      </c>
      <c r="AD18" s="198" t="str">
        <f t="shared" si="0"/>
        <v>40%</v>
      </c>
      <c r="AE18" s="197" t="s">
        <v>18</v>
      </c>
      <c r="AF18" s="197" t="s">
        <v>21</v>
      </c>
      <c r="AG18" s="197" t="s">
        <v>118</v>
      </c>
      <c r="AH18" s="182" t="s">
        <v>377</v>
      </c>
      <c r="AI18" s="224">
        <f>IFERROR(IF(AND(AA17="Probabilidad",AA18="Probabilidad"),(AK17-(+AK17*AD18)),IF(AA18="Probabilidad",(S17-(+S17*AA18)),IF(AA18="Impacto",AK17,""))),"")</f>
        <v>0.216</v>
      </c>
      <c r="AJ18" s="587"/>
      <c r="AK18" s="200">
        <f t="shared" ref="AK18" si="11">+AI18</f>
        <v>0.216</v>
      </c>
      <c r="AL18" s="587"/>
      <c r="AM18" s="200">
        <f>IFERROR(IF(AA17="Impacto",(V17-(+V17*AD17)),IF(AA17="Probabilidad",V17,"")),"")</f>
        <v>0.6</v>
      </c>
      <c r="AN18" s="585"/>
      <c r="AO18" s="197" t="s">
        <v>133</v>
      </c>
      <c r="AP18" s="455"/>
      <c r="AQ18" s="455"/>
      <c r="AR18" s="453"/>
      <c r="AS18" s="569"/>
      <c r="AT18" s="182" t="s">
        <v>590</v>
      </c>
      <c r="AU18" s="182" t="s">
        <v>39</v>
      </c>
      <c r="AV18" s="201">
        <v>45919</v>
      </c>
      <c r="AW18" s="182" t="s">
        <v>708</v>
      </c>
      <c r="AX18" s="192" t="s">
        <v>39</v>
      </c>
      <c r="AY18" s="400" t="s">
        <v>712</v>
      </c>
      <c r="AZ18" s="201"/>
      <c r="BA18" s="182"/>
      <c r="BB18" s="192"/>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row>
    <row r="19" spans="4:80" ht="124.5" customHeight="1" x14ac:dyDescent="0.2">
      <c r="D19" s="471" t="s">
        <v>698</v>
      </c>
      <c r="E19" s="473" t="s">
        <v>217</v>
      </c>
      <c r="F19" s="471" t="s">
        <v>129</v>
      </c>
      <c r="G19" s="473" t="s">
        <v>311</v>
      </c>
      <c r="H19" s="471" t="s">
        <v>225</v>
      </c>
      <c r="I19" s="450" t="s">
        <v>346</v>
      </c>
      <c r="J19" s="182"/>
      <c r="K19" s="450" t="s">
        <v>347</v>
      </c>
      <c r="L19" s="456" t="s">
        <v>348</v>
      </c>
      <c r="M19" s="450" t="s">
        <v>355</v>
      </c>
      <c r="N19" s="450" t="s">
        <v>232</v>
      </c>
      <c r="O19" s="450" t="s">
        <v>236</v>
      </c>
      <c r="P19" s="458">
        <v>20</v>
      </c>
      <c r="Q19" s="448" t="str">
        <f t="shared" si="3"/>
        <v>Baja</v>
      </c>
      <c r="R19" s="460">
        <f t="shared" si="4"/>
        <v>0.4</v>
      </c>
      <c r="S19" s="464" t="s">
        <v>150</v>
      </c>
      <c r="T19" s="466" t="str">
        <f>IF(NOT(ISERROR(MATCH(S19,'Tabla Impacto'!$B$221:$B$223,0))),'Tabla Impacto'!$F$223&amp;"Por favor no seleccionar los criterios de impacto(Afectación Económica o presupuestal y Pérdida Reputacional)",S19)</f>
        <v xml:space="preserve">     El riesgo afecta la imagen de la entidad con algunos usuarios de relevancia frente al logro de los objetivos</v>
      </c>
      <c r="U19" s="448" t="str">
        <f>IF(OR(T19='Tabla Impacto'!$C$11,T19='Tabla Impacto'!$D$11),"Leve",IF(OR(T19='Tabla Impacto'!$C$12,T19='Tabla Impacto'!$D$12),"Menor",IF(OR(T19='Tabla Impacto'!$C$13,T19='Tabla Impacto'!$D$13),"Moderado",IF(OR(T19='Tabla Impacto'!$C$14,T19='Tabla Impacto'!$D$14),"Mayor",IF(OR(T19='Tabla Impacto'!$C$15,T19='Tabla Impacto'!$D$15),"Catastrófico","")))))</f>
        <v>Moderado</v>
      </c>
      <c r="V19" s="460">
        <f t="shared" si="5"/>
        <v>0.6</v>
      </c>
      <c r="W19" s="578" t="str">
        <f t="shared" si="6"/>
        <v>Moderado</v>
      </c>
      <c r="X19" s="196"/>
      <c r="Y19" s="184" t="s">
        <v>586</v>
      </c>
      <c r="Z19" s="158" t="s">
        <v>378</v>
      </c>
      <c r="AA19" s="185" t="str">
        <f t="shared" si="7"/>
        <v>Probabilidad</v>
      </c>
      <c r="AB19" s="197" t="s">
        <v>13</v>
      </c>
      <c r="AC19" s="197" t="s">
        <v>8</v>
      </c>
      <c r="AD19" s="198" t="str">
        <f t="shared" si="0"/>
        <v>40%</v>
      </c>
      <c r="AE19" s="197" t="s">
        <v>18</v>
      </c>
      <c r="AF19" s="197" t="s">
        <v>21</v>
      </c>
      <c r="AG19" s="197" t="s">
        <v>117</v>
      </c>
      <c r="AH19" s="182" t="s">
        <v>379</v>
      </c>
      <c r="AI19" s="199">
        <f t="shared" si="8"/>
        <v>0.24</v>
      </c>
      <c r="AJ19" s="586" t="str">
        <f t="shared" si="9"/>
        <v>Baja</v>
      </c>
      <c r="AK19" s="200">
        <f t="shared" si="1"/>
        <v>0.24</v>
      </c>
      <c r="AL19" s="582" t="str">
        <f t="shared" si="10"/>
        <v>Moderado</v>
      </c>
      <c r="AM19" s="200">
        <f t="shared" ref="AM19:AM22" si="12">IFERROR(IF(AA19="Impacto",(V19-(+V19*AD19)),IF(AA19="Probabilidad",V19,"")),"")</f>
        <v>0.6</v>
      </c>
      <c r="AN19" s="584" t="str">
        <f t="shared" si="2"/>
        <v>Moderado</v>
      </c>
      <c r="AO19" s="197" t="s">
        <v>133</v>
      </c>
      <c r="AP19" s="454" t="s">
        <v>350</v>
      </c>
      <c r="AQ19" s="454" t="s">
        <v>257</v>
      </c>
      <c r="AR19" s="452">
        <v>45687</v>
      </c>
      <c r="AS19" s="568">
        <v>45762</v>
      </c>
      <c r="AT19" s="182" t="s">
        <v>702</v>
      </c>
      <c r="AU19" s="182" t="s">
        <v>39</v>
      </c>
      <c r="AV19" s="201">
        <v>45919</v>
      </c>
      <c r="AW19" s="182" t="s">
        <v>709</v>
      </c>
      <c r="AX19" s="192" t="s">
        <v>39</v>
      </c>
      <c r="AY19" s="400" t="s">
        <v>712</v>
      </c>
      <c r="AZ19" s="201"/>
      <c r="BA19" s="182"/>
      <c r="BB19" s="192"/>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row>
    <row r="20" spans="4:80" ht="113.45" customHeight="1" x14ac:dyDescent="0.2">
      <c r="D20" s="472"/>
      <c r="E20" s="474"/>
      <c r="F20" s="472"/>
      <c r="G20" s="474"/>
      <c r="H20" s="472"/>
      <c r="I20" s="451"/>
      <c r="J20" s="182"/>
      <c r="K20" s="451"/>
      <c r="L20" s="457"/>
      <c r="M20" s="451"/>
      <c r="N20" s="451"/>
      <c r="O20" s="451"/>
      <c r="P20" s="459"/>
      <c r="Q20" s="449"/>
      <c r="R20" s="461"/>
      <c r="S20" s="465"/>
      <c r="T20" s="467"/>
      <c r="U20" s="449"/>
      <c r="V20" s="461"/>
      <c r="W20" s="579"/>
      <c r="X20" s="196"/>
      <c r="Y20" s="209" t="s">
        <v>587</v>
      </c>
      <c r="Z20" s="158" t="s">
        <v>380</v>
      </c>
      <c r="AA20" s="185" t="str">
        <f t="shared" si="7"/>
        <v>Probabilidad</v>
      </c>
      <c r="AB20" s="197" t="s">
        <v>13</v>
      </c>
      <c r="AC20" s="197" t="s">
        <v>8</v>
      </c>
      <c r="AD20" s="198" t="str">
        <f t="shared" si="0"/>
        <v>40%</v>
      </c>
      <c r="AE20" s="197" t="s">
        <v>19</v>
      </c>
      <c r="AF20" s="197" t="s">
        <v>21</v>
      </c>
      <c r="AG20" s="197" t="s">
        <v>117</v>
      </c>
      <c r="AH20" s="182" t="s">
        <v>381</v>
      </c>
      <c r="AI20" s="224">
        <f>IFERROR(IF(AND(AA19="Probabilidad",AA20="Probabilidad"),(AK19-(+AK19*AD20)),IF(AA20="Probabilidad",(S19-(+S19*AA20)),IF(AA20="Impacto",AK19,""))),"")</f>
        <v>0.14399999999999999</v>
      </c>
      <c r="AJ20" s="587"/>
      <c r="AK20" s="200">
        <f t="shared" si="1"/>
        <v>0.14399999999999999</v>
      </c>
      <c r="AL20" s="583"/>
      <c r="AM20" s="200">
        <f>IFERROR(IF(AA20="Impacto",(V19-(+V19*AD19)),IF(AA19="Probabilidad",V19,"")),"")</f>
        <v>0.6</v>
      </c>
      <c r="AN20" s="585"/>
      <c r="AO20" s="197" t="s">
        <v>133</v>
      </c>
      <c r="AP20" s="455"/>
      <c r="AQ20" s="455"/>
      <c r="AR20" s="453"/>
      <c r="AS20" s="569"/>
      <c r="AT20" s="182" t="s">
        <v>703</v>
      </c>
      <c r="AU20" s="182" t="s">
        <v>39</v>
      </c>
      <c r="AV20" s="201">
        <v>45919</v>
      </c>
      <c r="AW20" s="182" t="s">
        <v>710</v>
      </c>
      <c r="AX20" s="192" t="s">
        <v>39</v>
      </c>
      <c r="AY20" s="400" t="s">
        <v>711</v>
      </c>
      <c r="AZ20" s="201"/>
      <c r="BA20" s="182"/>
      <c r="BB20" s="192"/>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row>
    <row r="21" spans="4:80" s="225" customFormat="1" ht="172.9" hidden="1" customHeight="1" x14ac:dyDescent="0.25">
      <c r="D21" s="183">
        <v>5</v>
      </c>
      <c r="E21" s="212"/>
      <c r="F21" s="212"/>
      <c r="G21" s="212"/>
      <c r="H21" s="183"/>
      <c r="I21" s="182"/>
      <c r="J21" s="182"/>
      <c r="K21" s="182"/>
      <c r="L21" s="226"/>
      <c r="M21" s="210"/>
      <c r="N21" s="182"/>
      <c r="O21" s="182"/>
      <c r="P21" s="182"/>
      <c r="Q21" s="193" t="str">
        <f t="shared" si="3"/>
        <v/>
      </c>
      <c r="R21" s="189" t="str">
        <f t="shared" si="4"/>
        <v/>
      </c>
      <c r="S21" s="194"/>
      <c r="T21" s="189">
        <f>IF(NOT(ISERROR(MATCH(S21,'Tabla Impacto'!$B$221:$B$223,0))),'Tabla Impacto'!$F$223&amp;"Por favor no seleccionar los criterios de impacto(Afectación Económica o presupuestal y Pérdida Reputacional)",S21)</f>
        <v>0</v>
      </c>
      <c r="U21" s="193" t="str">
        <f>IF(OR(T21='[8]Tabla Impacto'!$C$11,T21='[8]Tabla Impacto'!$D$11),"Leve",IF(OR(T21='[8]Tabla Impacto'!$C$12,T21='[8]Tabla Impacto'!$D$12),"Menor",IF(OR(T21='[8]Tabla Impacto'!$C$13,T21='[8]Tabla Impacto'!$D$13),"Moderado",IF(OR(T21='[8]Tabla Impacto'!$C$14,T21='[8]Tabla Impacto'!$D$14),"Mayor",IF(OR(T21='[8]Tabla Impacto'!$C$15,T21='[8]Tabla Impacto'!$D$15),"Catastrófico","")))))</f>
        <v/>
      </c>
      <c r="V21" s="189" t="str">
        <f t="shared" si="5"/>
        <v/>
      </c>
      <c r="W21" s="193" t="str">
        <f t="shared" si="6"/>
        <v/>
      </c>
      <c r="X21" s="183"/>
      <c r="Y21" s="158"/>
      <c r="Z21" s="158"/>
      <c r="AA21" s="185" t="str">
        <f t="shared" si="7"/>
        <v/>
      </c>
      <c r="AB21" s="190"/>
      <c r="AC21" s="190"/>
      <c r="AD21" s="189" t="str">
        <f t="shared" si="0"/>
        <v/>
      </c>
      <c r="AE21" s="190"/>
      <c r="AF21" s="190"/>
      <c r="AG21" s="190"/>
      <c r="AH21" s="192"/>
      <c r="AI21" s="227" t="str">
        <f t="shared" ref="AI21" si="13">IFERROR(IF(AB21="Probabilidad",(S21-(+S21*AE21)),IF(AB21="Impacto",S21,"")),"")</f>
        <v/>
      </c>
      <c r="AJ21" s="228" t="str">
        <f t="shared" si="9"/>
        <v/>
      </c>
      <c r="AK21" s="189" t="str">
        <f t="shared" si="1"/>
        <v/>
      </c>
      <c r="AL21" s="228" t="str">
        <f t="shared" si="10"/>
        <v/>
      </c>
      <c r="AM21" s="189" t="str">
        <f t="shared" si="12"/>
        <v/>
      </c>
      <c r="AN21" s="228" t="str">
        <f t="shared" si="2"/>
        <v/>
      </c>
      <c r="AO21" s="190"/>
      <c r="AP21" s="182"/>
      <c r="AQ21" s="182"/>
      <c r="AR21" s="191"/>
      <c r="AS21" s="191"/>
      <c r="AT21" s="182"/>
      <c r="AU21" s="182"/>
      <c r="AV21" s="191"/>
      <c r="AW21" s="182"/>
      <c r="AX21" s="182"/>
      <c r="AY21" s="182"/>
      <c r="AZ21" s="191"/>
      <c r="BA21" s="182"/>
      <c r="BB21" s="182"/>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row>
    <row r="22" spans="4:80" s="225" customFormat="1" ht="172.9" hidden="1" customHeight="1" x14ac:dyDescent="0.25">
      <c r="D22" s="183">
        <v>6</v>
      </c>
      <c r="E22" s="212"/>
      <c r="F22" s="212"/>
      <c r="G22" s="212"/>
      <c r="H22" s="183"/>
      <c r="I22" s="182"/>
      <c r="J22" s="182"/>
      <c r="K22" s="182"/>
      <c r="L22" s="226"/>
      <c r="M22" s="210"/>
      <c r="N22" s="182"/>
      <c r="O22" s="182"/>
      <c r="P22" s="182"/>
      <c r="Q22" s="193" t="str">
        <f t="shared" si="3"/>
        <v/>
      </c>
      <c r="R22" s="189" t="str">
        <f t="shared" si="4"/>
        <v/>
      </c>
      <c r="S22" s="194"/>
      <c r="T22" s="189">
        <f>IF(NOT(ISERROR(MATCH(S22,'Tabla Impacto'!$B$221:$B$223,0))),'Tabla Impacto'!$F$223&amp;"Por favor no seleccionar los criterios de impacto(Afectación Económica o presupuestal y Pérdida Reputacional)",S22)</f>
        <v>0</v>
      </c>
      <c r="U22" s="193" t="str">
        <f>IF(OR(T22='[8]Tabla Impacto'!$C$11,T22='[8]Tabla Impacto'!$D$11),"Leve",IF(OR(T22='[8]Tabla Impacto'!$C$12,T22='[8]Tabla Impacto'!$D$12),"Menor",IF(OR(T22='[8]Tabla Impacto'!$C$13,T22='[8]Tabla Impacto'!$D$13),"Moderado",IF(OR(T22='[8]Tabla Impacto'!$C$14,T22='[8]Tabla Impacto'!$D$14),"Mayor",IF(OR(T22='[8]Tabla Impacto'!$C$15,T22='[8]Tabla Impacto'!$D$15),"Catastrófico","")))))</f>
        <v/>
      </c>
      <c r="V22" s="189" t="str">
        <f t="shared" si="5"/>
        <v/>
      </c>
      <c r="W22" s="193" t="str">
        <f t="shared" si="6"/>
        <v/>
      </c>
      <c r="X22" s="183"/>
      <c r="Y22" s="158"/>
      <c r="Z22" s="158"/>
      <c r="AA22" s="185" t="str">
        <f t="shared" si="7"/>
        <v/>
      </c>
      <c r="AB22" s="190"/>
      <c r="AC22" s="190"/>
      <c r="AD22" s="189" t="str">
        <f t="shared" si="0"/>
        <v/>
      </c>
      <c r="AE22" s="190"/>
      <c r="AF22" s="190"/>
      <c r="AG22" s="190"/>
      <c r="AH22" s="192"/>
      <c r="AI22" s="224" t="str">
        <f>IFERROR(IF(AND(AB21="Probabilidad",AB22="Probabilidad"),(AK21-(+AK21*AE22)),IF(AB22="Probabilidad",(T21-(+T21*AE22)),IF(AB22="Impacto",AK21,""))),"")</f>
        <v/>
      </c>
      <c r="AJ22" s="228" t="str">
        <f t="shared" si="9"/>
        <v/>
      </c>
      <c r="AK22" s="189" t="str">
        <f t="shared" si="1"/>
        <v/>
      </c>
      <c r="AL22" s="228" t="str">
        <f t="shared" si="10"/>
        <v/>
      </c>
      <c r="AM22" s="189" t="str">
        <f t="shared" si="12"/>
        <v/>
      </c>
      <c r="AN22" s="228" t="str">
        <f t="shared" si="2"/>
        <v/>
      </c>
      <c r="AO22" s="190"/>
      <c r="AP22" s="182"/>
      <c r="AQ22" s="182"/>
      <c r="AR22" s="191"/>
      <c r="AS22" s="191"/>
      <c r="AT22" s="182"/>
      <c r="AU22" s="182"/>
      <c r="AV22" s="191"/>
      <c r="AW22" s="182"/>
      <c r="AX22" s="182"/>
      <c r="AY22" s="182"/>
      <c r="AZ22" s="191"/>
      <c r="BA22" s="182"/>
      <c r="BB22" s="182"/>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row>
    <row r="23" spans="4:80" ht="49.5" customHeight="1" x14ac:dyDescent="0.2">
      <c r="D23" s="204"/>
      <c r="E23" s="205"/>
      <c r="F23" s="205"/>
      <c r="G23" s="205"/>
      <c r="H23" s="205"/>
      <c r="I23" s="560" t="s">
        <v>386</v>
      </c>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1"/>
    </row>
    <row r="25" spans="4:80" ht="15.75" x14ac:dyDescent="0.2">
      <c r="D25" s="109"/>
      <c r="E25" s="110"/>
      <c r="F25" s="110"/>
      <c r="G25" s="110"/>
      <c r="H25" s="110"/>
      <c r="I25" s="110"/>
      <c r="J25" s="110"/>
      <c r="K25" s="110"/>
      <c r="L25" s="110"/>
      <c r="M25" s="165"/>
      <c r="N25" s="165"/>
      <c r="O25" s="165"/>
      <c r="Q25" s="111"/>
      <c r="R25" s="110"/>
      <c r="S25" s="110"/>
      <c r="T25" s="110"/>
      <c r="U25" s="110"/>
      <c r="V25" s="110"/>
      <c r="W25" s="110"/>
      <c r="X25" s="110"/>
      <c r="Y25" s="110"/>
      <c r="Z25" s="110"/>
      <c r="AA25" s="112"/>
      <c r="AB25" s="112"/>
      <c r="AC25" s="110"/>
      <c r="AD25" s="110"/>
      <c r="AE25" s="110"/>
      <c r="AF25" s="110"/>
      <c r="AG25" s="110"/>
      <c r="AH25" s="110"/>
      <c r="AI25" s="110"/>
      <c r="AJ25" s="110"/>
      <c r="AK25" s="110"/>
      <c r="AL25" s="110"/>
      <c r="AM25" s="110"/>
      <c r="AN25" s="110"/>
      <c r="AO25" s="113"/>
      <c r="AP25" s="113"/>
      <c r="AQ25" s="110"/>
      <c r="AR25" s="110"/>
      <c r="AS25" s="110"/>
      <c r="AT25" s="110"/>
      <c r="AU25" s="110"/>
      <c r="AV25" s="110"/>
      <c r="AW25" s="110"/>
    </row>
    <row r="26" spans="4:80" ht="18" x14ac:dyDescent="0.2">
      <c r="D26" s="572" t="s">
        <v>384</v>
      </c>
      <c r="E26" s="498"/>
      <c r="F26" s="498"/>
      <c r="G26" s="498"/>
      <c r="H26" s="498"/>
      <c r="I26" s="498"/>
      <c r="J26" s="498"/>
      <c r="K26" s="498"/>
      <c r="L26" s="498"/>
      <c r="M26" s="165"/>
      <c r="N26" s="165"/>
      <c r="O26" s="165"/>
      <c r="P26" s="499" t="s">
        <v>352</v>
      </c>
      <c r="Q26" s="500"/>
      <c r="R26" s="500"/>
      <c r="S26" s="501"/>
      <c r="T26" s="110"/>
      <c r="U26" s="110"/>
      <c r="V26" s="110"/>
      <c r="W26" s="110"/>
      <c r="X26" s="110"/>
      <c r="Y26" s="110"/>
      <c r="Z26" s="113"/>
      <c r="AA26" s="112"/>
      <c r="AB26" s="112"/>
      <c r="AC26" s="110"/>
      <c r="AD26" s="112"/>
      <c r="AE26" s="112"/>
      <c r="AF26" s="110"/>
      <c r="AG26" s="110"/>
      <c r="AH26" s="110"/>
      <c r="AI26" s="110"/>
      <c r="AJ26" s="110"/>
      <c r="AK26" s="110"/>
      <c r="AL26" s="110"/>
      <c r="AM26" s="110"/>
      <c r="AN26" s="110"/>
      <c r="AO26" s="110"/>
      <c r="AP26" s="110"/>
      <c r="AQ26" s="110"/>
      <c r="AR26" s="110"/>
      <c r="AS26" s="110"/>
      <c r="AT26" s="110"/>
      <c r="AU26" s="110"/>
      <c r="AV26" s="110"/>
      <c r="AW26" s="110"/>
    </row>
    <row r="27" spans="4:80" ht="15" thickBot="1" x14ac:dyDescent="0.25">
      <c r="D27" s="165"/>
      <c r="E27" s="165"/>
      <c r="F27" s="165"/>
      <c r="G27" s="165"/>
      <c r="H27" s="165"/>
      <c r="I27" s="165"/>
      <c r="J27" s="165"/>
      <c r="K27" s="165"/>
      <c r="M27" s="165"/>
      <c r="N27" s="165"/>
      <c r="O27" s="165"/>
      <c r="Q27" s="167" t="str">
        <f>+IFERROR(VLOOKUP(M27,$M$182:$Q$186,3,FALSE)*VLOOKUP(P27,$P$182:$Q$186,3,FALSE),"")</f>
        <v/>
      </c>
      <c r="AA27" s="167"/>
      <c r="AB27" s="206"/>
      <c r="AD27" s="206"/>
      <c r="AE27" s="206"/>
      <c r="AF27" s="207"/>
      <c r="AG27" s="207"/>
      <c r="AH27" s="207"/>
      <c r="AI27" s="207"/>
      <c r="AJ27" s="207"/>
      <c r="AK27" s="114"/>
      <c r="AL27" s="114"/>
      <c r="AM27" s="207"/>
      <c r="AN27" s="208"/>
      <c r="AR27" s="207"/>
      <c r="AT27" s="207"/>
      <c r="AV27" s="207"/>
    </row>
    <row r="28" spans="4:80" ht="17.45" customHeight="1" thickTop="1" thickBot="1" x14ac:dyDescent="0.25">
      <c r="D28" s="483" t="s">
        <v>205</v>
      </c>
      <c r="E28" s="483"/>
      <c r="F28" s="483"/>
      <c r="G28" s="483"/>
      <c r="H28" s="483"/>
      <c r="I28" s="483"/>
      <c r="J28" s="483"/>
      <c r="K28" s="483"/>
      <c r="L28" s="164" t="s">
        <v>206</v>
      </c>
      <c r="M28" s="483" t="s">
        <v>207</v>
      </c>
      <c r="N28" s="483"/>
      <c r="O28" s="483"/>
      <c r="P28" s="483"/>
      <c r="Q28" s="483"/>
      <c r="R28" s="483"/>
      <c r="S28" s="483"/>
      <c r="T28" s="118"/>
      <c r="U28" s="484" t="s">
        <v>208</v>
      </c>
      <c r="V28" s="484"/>
      <c r="W28" s="484"/>
      <c r="X28" s="483" t="s">
        <v>209</v>
      </c>
      <c r="Y28" s="483"/>
      <c r="Z28" s="483"/>
      <c r="AA28" s="483"/>
      <c r="AB28" s="484">
        <v>1</v>
      </c>
      <c r="AC28" s="484"/>
      <c r="AD28" s="484"/>
      <c r="AE28" s="484"/>
      <c r="AF28" s="117"/>
      <c r="AG28" s="117"/>
      <c r="AH28" s="117"/>
      <c r="AI28" s="117"/>
      <c r="AJ28" s="117"/>
      <c r="AK28" s="117"/>
      <c r="AL28" s="117"/>
      <c r="AM28" s="117"/>
      <c r="AN28" s="117"/>
      <c r="AO28" s="117"/>
      <c r="AP28" s="117"/>
      <c r="AQ28" s="117"/>
      <c r="AR28" s="117"/>
      <c r="AS28" s="117"/>
      <c r="AT28" s="117"/>
      <c r="AU28" s="117"/>
      <c r="AV28" s="117"/>
      <c r="AW28" s="115"/>
    </row>
    <row r="29" spans="4:80" ht="36.75" customHeight="1" thickTop="1" x14ac:dyDescent="0.25">
      <c r="D29" s="485" t="s">
        <v>385</v>
      </c>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row>
  </sheetData>
  <autoFilter ref="A11:BB23" xr:uid="{3F1B41D9-C406-419A-B697-6327EA0FC49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autoFilter>
  <dataConsolidate link="1"/>
  <mergeCells count="152">
    <mergeCell ref="D17:D18"/>
    <mergeCell ref="H17:H18"/>
    <mergeCell ref="I17:I18"/>
    <mergeCell ref="K17:K18"/>
    <mergeCell ref="A11:C11"/>
    <mergeCell ref="A12:C12"/>
    <mergeCell ref="D29:AE29"/>
    <mergeCell ref="AP19:AP20"/>
    <mergeCell ref="AQ19:AQ20"/>
    <mergeCell ref="AL19:AL20"/>
    <mergeCell ref="AN19:AN20"/>
    <mergeCell ref="AJ17:AJ18"/>
    <mergeCell ref="AL17:AL18"/>
    <mergeCell ref="AN17:AN18"/>
    <mergeCell ref="T19:T20"/>
    <mergeCell ref="U19:U20"/>
    <mergeCell ref="V19:V20"/>
    <mergeCell ref="W19:W20"/>
    <mergeCell ref="AJ19:AJ20"/>
    <mergeCell ref="AQ17:AQ18"/>
    <mergeCell ref="AP17:AP18"/>
    <mergeCell ref="Q19:Q20"/>
    <mergeCell ref="R19:R20"/>
    <mergeCell ref="S19:S20"/>
    <mergeCell ref="D19:D20"/>
    <mergeCell ref="E19:E20"/>
    <mergeCell ref="F19:F20"/>
    <mergeCell ref="H19:H20"/>
    <mergeCell ref="I19:I20"/>
    <mergeCell ref="K19:K20"/>
    <mergeCell ref="L19:L20"/>
    <mergeCell ref="M19:M20"/>
    <mergeCell ref="N19:N20"/>
    <mergeCell ref="AZ11:BB11"/>
    <mergeCell ref="Q15:Q16"/>
    <mergeCell ref="R15:R16"/>
    <mergeCell ref="S15:S16"/>
    <mergeCell ref="G17:G18"/>
    <mergeCell ref="G19:G20"/>
    <mergeCell ref="L17:L18"/>
    <mergeCell ref="M17:M18"/>
    <mergeCell ref="N17:N18"/>
    <mergeCell ref="O17:O18"/>
    <mergeCell ref="P17:P18"/>
    <mergeCell ref="Q17:Q18"/>
    <mergeCell ref="R17:R18"/>
    <mergeCell ref="S17:S18"/>
    <mergeCell ref="V17:V18"/>
    <mergeCell ref="W17:W18"/>
    <mergeCell ref="AR19:AR20"/>
    <mergeCell ref="AR17:AR18"/>
    <mergeCell ref="T17:T18"/>
    <mergeCell ref="U17:U18"/>
    <mergeCell ref="R13:R14"/>
    <mergeCell ref="AZ13:AZ14"/>
    <mergeCell ref="AX13:AX14"/>
    <mergeCell ref="AP12:BB12"/>
    <mergeCell ref="D15:D16"/>
    <mergeCell ref="E15:E16"/>
    <mergeCell ref="F15:F16"/>
    <mergeCell ref="G15:G16"/>
    <mergeCell ref="H15:H16"/>
    <mergeCell ref="O19:O20"/>
    <mergeCell ref="P19:P20"/>
    <mergeCell ref="BA2:BB2"/>
    <mergeCell ref="BA3:BB3"/>
    <mergeCell ref="BA4:BB4"/>
    <mergeCell ref="BA5:BB5"/>
    <mergeCell ref="D2:H5"/>
    <mergeCell ref="H9:BB9"/>
    <mergeCell ref="H8:BB8"/>
    <mergeCell ref="H7:BB7"/>
    <mergeCell ref="D13:D14"/>
    <mergeCell ref="I2:AZ5"/>
    <mergeCell ref="D12:P12"/>
    <mergeCell ref="Q12:W12"/>
    <mergeCell ref="AY13:AY14"/>
    <mergeCell ref="D7:G7"/>
    <mergeCell ref="D11:AU11"/>
    <mergeCell ref="AV11:AY11"/>
    <mergeCell ref="AL13:AL14"/>
    <mergeCell ref="X12:AG12"/>
    <mergeCell ref="N13:O13"/>
    <mergeCell ref="AH12:AH14"/>
    <mergeCell ref="K13:K14"/>
    <mergeCell ref="I13:I14"/>
    <mergeCell ref="S13:S14"/>
    <mergeCell ref="T13:T14"/>
    <mergeCell ref="AP13:AP14"/>
    <mergeCell ref="AJ13:AJ14"/>
    <mergeCell ref="AK13:AK14"/>
    <mergeCell ref="P13:P14"/>
    <mergeCell ref="Q13:Q14"/>
    <mergeCell ref="AI12:AO12"/>
    <mergeCell ref="Z13:Z14"/>
    <mergeCell ref="BA13:BA14"/>
    <mergeCell ref="BB13:BB14"/>
    <mergeCell ref="AV13:AV14"/>
    <mergeCell ref="AW13:AW14"/>
    <mergeCell ref="AO13:AO14"/>
    <mergeCell ref="AB13:AC13"/>
    <mergeCell ref="AD13:AG13"/>
    <mergeCell ref="AQ15:AQ16"/>
    <mergeCell ref="AJ15:AJ16"/>
    <mergeCell ref="AP15:AP16"/>
    <mergeCell ref="AS15:AS16"/>
    <mergeCell ref="D8:G8"/>
    <mergeCell ref="D9:G9"/>
    <mergeCell ref="X28:AA28"/>
    <mergeCell ref="AB28:AE28"/>
    <mergeCell ref="D28:K28"/>
    <mergeCell ref="P26:S26"/>
    <mergeCell ref="M28:S28"/>
    <mergeCell ref="U28:W28"/>
    <mergeCell ref="D26:L26"/>
    <mergeCell ref="E13:E14"/>
    <mergeCell ref="AA13:AA14"/>
    <mergeCell ref="H13:H14"/>
    <mergeCell ref="X13:X14"/>
    <mergeCell ref="Y13:Y14"/>
    <mergeCell ref="I23:AU23"/>
    <mergeCell ref="W13:W14"/>
    <mergeCell ref="AU13:AU14"/>
    <mergeCell ref="AT13:AT14"/>
    <mergeCell ref="AS13:AS14"/>
    <mergeCell ref="AR13:AR14"/>
    <mergeCell ref="AQ13:AQ14"/>
    <mergeCell ref="M13:M14"/>
    <mergeCell ref="L13:L14"/>
    <mergeCell ref="AR15:AR16"/>
    <mergeCell ref="E17:E18"/>
    <mergeCell ref="F17:F18"/>
    <mergeCell ref="I15:I16"/>
    <mergeCell ref="K15:K16"/>
    <mergeCell ref="L15:L16"/>
    <mergeCell ref="M15:M16"/>
    <mergeCell ref="N15:N16"/>
    <mergeCell ref="T15:T16"/>
    <mergeCell ref="U15:U16"/>
    <mergeCell ref="AS17:AS18"/>
    <mergeCell ref="AS19:AS20"/>
    <mergeCell ref="V15:V16"/>
    <mergeCell ref="W15:W16"/>
    <mergeCell ref="O15:O16"/>
    <mergeCell ref="P15:P16"/>
    <mergeCell ref="U13:U14"/>
    <mergeCell ref="V13:V14"/>
    <mergeCell ref="AL15:AL16"/>
    <mergeCell ref="AN15:AN16"/>
    <mergeCell ref="AN13:AN14"/>
    <mergeCell ref="AM13:AM14"/>
    <mergeCell ref="AI13:AI14"/>
  </mergeCells>
  <conditionalFormatting sqref="Q15 Q17 Q19 Q21:Q22 AJ21:AJ22">
    <cfRule type="cellIs" dxfId="187" priority="70" operator="equal">
      <formula>"Muy Baja"</formula>
    </cfRule>
    <cfRule type="cellIs" dxfId="186" priority="69" operator="equal">
      <formula>"Baja"</formula>
    </cfRule>
    <cfRule type="cellIs" dxfId="185" priority="68" operator="equal">
      <formula>"Media"</formula>
    </cfRule>
    <cfRule type="cellIs" dxfId="184" priority="67" operator="equal">
      <formula>"Alta"</formula>
    </cfRule>
    <cfRule type="cellIs" dxfId="183" priority="66" operator="equal">
      <formula>"Muy Alta"</formula>
    </cfRule>
  </conditionalFormatting>
  <conditionalFormatting sqref="T15 T17 T19 T21:T22">
    <cfRule type="containsText" dxfId="182" priority="42" operator="containsText" text="❌">
      <formula>NOT(ISERROR(SEARCH("❌",T15)))</formula>
    </cfRule>
  </conditionalFormatting>
  <conditionalFormatting sqref="U15 U17 U19 U21:U22 AL21:AL22">
    <cfRule type="cellIs" dxfId="181" priority="65" operator="equal">
      <formula>"Leve"</formula>
    </cfRule>
    <cfRule type="cellIs" dxfId="180" priority="64" operator="equal">
      <formula>"Menor"</formula>
    </cfRule>
    <cfRule type="cellIs" dxfId="179" priority="63" operator="equal">
      <formula>"Moderado"</formula>
    </cfRule>
    <cfRule type="cellIs" dxfId="178" priority="62" operator="equal">
      <formula>"Mayor"</formula>
    </cfRule>
    <cfRule type="cellIs" dxfId="177" priority="61" operator="equal">
      <formula>"Catastrófico"</formula>
    </cfRule>
  </conditionalFormatting>
  <conditionalFormatting sqref="W15 W17 W19 W21:W22 AN21:AN22">
    <cfRule type="cellIs" dxfId="176" priority="60" operator="equal">
      <formula>"Bajo"</formula>
    </cfRule>
    <cfRule type="cellIs" dxfId="175" priority="59" operator="equal">
      <formula>"Moderado"</formula>
    </cfRule>
    <cfRule type="cellIs" dxfId="174" priority="58" operator="equal">
      <formula>"Alto"</formula>
    </cfRule>
    <cfRule type="cellIs" dxfId="173" priority="57" operator="equal">
      <formula>"Extremo"</formula>
    </cfRule>
  </conditionalFormatting>
  <conditionalFormatting sqref="AJ15 AJ17 AJ19">
    <cfRule type="cellIs" dxfId="172" priority="52" operator="equal">
      <formula>"Muy Alta"</formula>
    </cfRule>
    <cfRule type="cellIs" dxfId="171" priority="53" operator="equal">
      <formula>"Alta"</formula>
    </cfRule>
    <cfRule type="cellIs" dxfId="170" priority="54" operator="equal">
      <formula>"Media"</formula>
    </cfRule>
    <cfRule type="cellIs" dxfId="169" priority="55" operator="equal">
      <formula>"Baja"</formula>
    </cfRule>
    <cfRule type="cellIs" dxfId="168" priority="56" operator="equal">
      <formula>"Muy Baja"</formula>
    </cfRule>
  </conditionalFormatting>
  <conditionalFormatting sqref="AK25:AK27">
    <cfRule type="cellIs" dxfId="167" priority="32" operator="equal">
      <formula>#REF!</formula>
    </cfRule>
    <cfRule type="cellIs" dxfId="166" priority="31" operator="equal">
      <formula>#REF!</formula>
    </cfRule>
  </conditionalFormatting>
  <conditionalFormatting sqref="AK25:AL27">
    <cfRule type="cellIs" dxfId="165" priority="30" stopIfTrue="1" operator="equal">
      <formula>#REF!</formula>
    </cfRule>
  </conditionalFormatting>
  <conditionalFormatting sqref="AL15 AL17 AL19">
    <cfRule type="cellIs" dxfId="164" priority="51" operator="equal">
      <formula>"Leve"</formula>
    </cfRule>
    <cfRule type="cellIs" dxfId="163" priority="50" operator="equal">
      <formula>"Menor"</formula>
    </cfRule>
    <cfRule type="cellIs" dxfId="162" priority="49" operator="equal">
      <formula>"Moderado"</formula>
    </cfRule>
    <cfRule type="cellIs" dxfId="161" priority="48" operator="equal">
      <formula>"Mayor"</formula>
    </cfRule>
    <cfRule type="cellIs" dxfId="160" priority="47" operator="equal">
      <formula>"Catastrófico"</formula>
    </cfRule>
  </conditionalFormatting>
  <conditionalFormatting sqref="AL25:AL27">
    <cfRule type="cellIs" dxfId="159" priority="35" stopIfTrue="1" operator="equal">
      <formula>#REF!</formula>
    </cfRule>
    <cfRule type="cellIs" dxfId="158" priority="34" stopIfTrue="1" operator="equal">
      <formula>#REF!</formula>
    </cfRule>
  </conditionalFormatting>
  <conditionalFormatting sqref="AN15 AN17 AN19">
    <cfRule type="cellIs" dxfId="157" priority="46" operator="equal">
      <formula>"Bajo"</formula>
    </cfRule>
    <cfRule type="cellIs" dxfId="156" priority="45" operator="equal">
      <formula>"Moderado"</formula>
    </cfRule>
    <cfRule type="cellIs" dxfId="155" priority="44" operator="equal">
      <formula>"Alto"</formula>
    </cfRule>
    <cfRule type="cellIs" dxfId="154" priority="43" operator="equal">
      <formula>"Extremo"</formula>
    </cfRule>
  </conditionalFormatting>
  <dataValidations count="7">
    <dataValidation type="list" allowBlank="1" showInputMessage="1" showErrorMessage="1" sqref="L25" xr:uid="{C607136B-728B-449B-9E73-A919A47CAA65}">
      <formula1>$L$182:$L$191</formula1>
    </dataValidation>
    <dataValidation type="list" allowBlank="1" showInputMessage="1" showErrorMessage="1" sqref="L27 AK27:AL27" xr:uid="{2614BC55-F3E4-49D7-B6A3-6B0354F3005F}">
      <formula1>#REF!</formula1>
    </dataValidation>
    <dataValidation type="list" allowBlank="1" showInputMessage="1" showErrorMessage="1" sqref="AA27" xr:uid="{878451C5-3244-4B01-9678-EF8BA429E8F1}">
      <formula1>$S$182:$S$183</formula1>
    </dataValidation>
    <dataValidation type="list" allowBlank="1" showInputMessage="1" showErrorMessage="1" sqref="P27" xr:uid="{BC966A04-3F21-4555-B4ED-1D0D98A621B0}">
      <formula1>$P$182:$P$186</formula1>
    </dataValidation>
    <dataValidation type="list" allowBlank="1" showInputMessage="1" showErrorMessage="1" sqref="M27:O27" xr:uid="{4A95DB00-1D63-4BA3-8007-EDB27EB8413B}">
      <formula1>$M$182:$M$186</formula1>
    </dataValidation>
    <dataValidation type="list" allowBlank="1" showInputMessage="1" showErrorMessage="1" sqref="AV27 AD27:AJ27 AB27 AR27 AT27" xr:uid="{16819F76-47B6-405B-BAC1-E60358545662}">
      <formula1>$AR$182:$AR$189</formula1>
    </dataValidation>
    <dataValidation allowBlank="1" showInputMessage="1" showErrorMessage="1" error="Recuerde que las acciones se generan bajo la medida de mitigar el riesgo" sqref="AW15:AW19 AV15:AV20" xr:uid="{4DC50C42-59AD-4968-A8A9-EE4EAF4E0C0C}"/>
  </dataValidations>
  <hyperlinks>
    <hyperlink ref="AY16" r:id="rId1" xr:uid="{9D4BC163-123F-47FD-B565-389B0D04FFBD}"/>
    <hyperlink ref="AY20" r:id="rId2" xr:uid="{87DED0DE-C752-4137-90AC-55C241C5A04E}"/>
    <hyperlink ref="AY15" r:id="rId3" xr:uid="{2EBBEBE8-7362-4AEF-A37B-37E09CB1755D}"/>
    <hyperlink ref="AY17" r:id="rId4" xr:uid="{7BDA3753-2EE2-4031-9967-6CFA85CF740F}"/>
    <hyperlink ref="AY18" r:id="rId5" xr:uid="{AC5E0468-A5DE-4237-861F-D67FA252D322}"/>
    <hyperlink ref="AY19" r:id="rId6" xr:uid="{9236AC56-17BA-4A72-BAC4-8F1B7CF915C8}"/>
  </hyperlinks>
  <pageMargins left="0.7" right="0.7" top="0.75" bottom="0.75" header="0.3" footer="0.3"/>
  <pageSetup orientation="portrait" r:id="rId7"/>
  <drawing r:id="rId8"/>
  <legacyDrawing r:id="rId9"/>
  <extLst>
    <ext xmlns:x14="http://schemas.microsoft.com/office/spreadsheetml/2009/9/main" uri="{CCE6A557-97BC-4b89-ADB6-D9C93CAAB3DF}">
      <x14:dataValidations xmlns:xm="http://schemas.microsoft.com/office/excel/2006/main" count="33">
        <x14:dataValidation type="list" allowBlank="1" showInputMessage="1" showErrorMessage="1" xr:uid="{0015F966-C9FF-487C-93B5-AD42B6EB4C0E}">
          <x14:formula1>
            <xm:f>'Opciones Tratamiento'!$B$9:$B$10</xm:f>
          </x14:formula1>
          <xm:sqref>BB15:BB20 AX15:AX20</xm:sqref>
        </x14:dataValidation>
        <x14:dataValidation type="list" allowBlank="1" showInputMessage="1" showErrorMessage="1" xr:uid="{F4BD0BBF-316C-460C-BE8D-FBBC644D65A9}">
          <x14:formula1>
            <xm:f>'Tabla Valoración controles'!$D$4:$D$6</xm:f>
          </x14:formula1>
          <xm:sqref>AB15:AB20</xm:sqref>
        </x14:dataValidation>
        <x14:dataValidation type="list" allowBlank="1" showInputMessage="1" showErrorMessage="1" xr:uid="{04E99555-C4B7-49A9-9EA0-CA4CF06F412E}">
          <x14:formula1>
            <xm:f>'Tabla Valoración controles'!$D$7:$D$8</xm:f>
          </x14:formula1>
          <xm:sqref>AC15:AC20</xm:sqref>
        </x14:dataValidation>
        <x14:dataValidation type="list" allowBlank="1" showInputMessage="1" showErrorMessage="1" xr:uid="{97D6DE03-E950-4DF2-8B27-BEEEA1B0A3AB}">
          <x14:formula1>
            <xm:f>'Tabla Valoración controles'!$D$9:$D$10</xm:f>
          </x14:formula1>
          <xm:sqref>AE15:AE20</xm:sqref>
        </x14:dataValidation>
        <x14:dataValidation type="list" allowBlank="1" showInputMessage="1" showErrorMessage="1" xr:uid="{CBD596B0-BDDE-4888-98E2-9C55AA9F2993}">
          <x14:formula1>
            <xm:f>'Tabla Valoración controles'!$D$11:$D$12</xm:f>
          </x14:formula1>
          <xm:sqref>AF15:AF20</xm:sqref>
        </x14:dataValidation>
        <x14:dataValidation type="list" allowBlank="1" showInputMessage="1" showErrorMessage="1" xr:uid="{1C94D8C3-9055-41CE-BD00-E1DBB63F095C}">
          <x14:formula1>
            <xm:f>'Tabla Valoración controles'!$D$13:$D$14</xm:f>
          </x14:formula1>
          <xm:sqref>AG15:AG20</xm:sqref>
        </x14:dataValidation>
        <x14:dataValidation type="list" allowBlank="1" showInputMessage="1" showErrorMessage="1" xr:uid="{5926C4D6-5C73-403C-8357-9491202C8833}">
          <x14:formula1>
            <xm:f>'Opciones Tratamiento'!$B$13:$B$19</xm:f>
          </x14:formula1>
          <xm:sqref>M15 M17 M19</xm:sqref>
        </x14:dataValidation>
        <x14:dataValidation type="list" allowBlank="1" showInputMessage="1" showErrorMessage="1" xr:uid="{740129DE-94FD-434C-90F1-F765C9442422}">
          <x14:formula1>
            <xm:f>'Opciones Tratamiento'!$B$2:$B$5</xm:f>
          </x14:formula1>
          <xm:sqref>AO15:AO20</xm:sqref>
        </x14:dataValidation>
        <x14:dataValidation type="list" allowBlank="1" showInputMessage="1" showErrorMessage="1" xr:uid="{31D13291-37DF-4108-ABE2-CAB5AE682D0D}">
          <x14:formula1>
            <xm:f>'Tabla Impacto'!$F$210:$F$221</xm:f>
          </x14:formula1>
          <xm:sqref>S17 S19</xm:sqref>
        </x14:dataValidation>
        <x14:dataValidation type="custom" allowBlank="1" showInputMessage="1" showErrorMessage="1" error="Recuerde que las acciones se generan bajo la medida de mitigar el riesgo" xr:uid="{FC85F005-AE81-4F5E-B8D1-67413996205B}">
          <x14:formula1>
            <xm:f>IF(OR(AO15='Opciones Tratamiento'!$B$2,AO15='Opciones Tratamiento'!$B$3,AO15='Opciones Tratamiento'!$B$4),ISBLANK(AO15),ISTEXT(AO15))</xm:f>
          </x14:formula1>
          <xm:sqref>AQ15</xm:sqref>
        </x14:dataValidation>
        <x14:dataValidation type="list" allowBlank="1" showInputMessage="1" showErrorMessage="1" xr:uid="{2AF88F11-DE53-4CE8-89B4-5412CC25C00E}">
          <x14:formula1>
            <xm:f>Listas!$B$2:$B$7</xm:f>
          </x14:formula1>
          <xm:sqref>H15 H17 H19</xm:sqref>
        </x14:dataValidation>
        <x14:dataValidation type="list" allowBlank="1" showInputMessage="1" showErrorMessage="1" xr:uid="{DDF05210-AAA9-4FD8-9213-603F8ED87A9E}">
          <x14:formula1>
            <xm:f>Listas!$C$2:$C$6</xm:f>
          </x14:formula1>
          <xm:sqref>N15 N17 N19</xm:sqref>
        </x14:dataValidation>
        <x14:dataValidation type="list" allowBlank="1" showInputMessage="1" showErrorMessage="1" xr:uid="{DDD124D9-3DEB-47EB-AB66-3A281AEEF6A3}">
          <x14:formula1>
            <xm:f>Listas!$D$2:$D$5</xm:f>
          </x14:formula1>
          <xm:sqref>O15 O17 O19</xm:sqref>
        </x14:dataValidation>
        <x14:dataValidation type="list" allowBlank="1" showInputMessage="1" showErrorMessage="1" xr:uid="{2557BEBC-18C9-4FE6-8FC0-C8024FC4CA60}">
          <x14:formula1>
            <xm:f>LISTA!$B$3:$B$18</xm:f>
          </x14:formula1>
          <xm:sqref>E15:E20</xm:sqref>
        </x14:dataValidation>
        <x14:dataValidation type="list" allowBlank="1" showInputMessage="1" showErrorMessage="1" xr:uid="{0038FEBA-45A5-4D6F-8578-E75CDD355948}">
          <x14:formula1>
            <xm:f>LISTA!$D$3:$D$21</xm:f>
          </x14:formula1>
          <xm:sqref>F15 F17 F19</xm:sqref>
        </x14:dataValidation>
        <x14:dataValidation type="list" allowBlank="1" showInputMessage="1" showErrorMessage="1" xr:uid="{B168C34C-4874-4915-9809-2E47179FFC7C}">
          <x14:formula1>
            <xm:f>LISTA!$E$3:$E$23</xm:f>
          </x14:formula1>
          <xm:sqref>G15 G17 G19</xm:sqref>
        </x14:dataValidation>
        <x14:dataValidation type="custom" allowBlank="1" showInputMessage="1" showErrorMessage="1" error="Recuerde que las acciones se generan bajo la medida de mitigar el riesgo" xr:uid="{0D212601-69EF-45DD-A2F0-EAEFC9059D73}">
          <x14:formula1>
            <xm:f>IF(OR(AO19='https://itceduco-my.sharepoint.com/personal/calidad_itc_edu_co/Documents/GESTIÓN PARA LA ALINEACION DE PROCESOS. MAPA V9/Sistemas Integrados de Aseguramiento  ITC 2025/SEGURIDAD DE LA INFORMACIÓN/[mapaderiesgocalidad24 (1).xlsx]Opciones Tratamiento'!#REF!,AO19='https://itceduco-my.sharepoint.com/personal/calidad_itc_edu_co/Documents/GESTIÓN PARA LA ALINEACION DE PROCESOS. MAPA V9/Sistemas Integrados de Aseguramiento  ITC 2025/SEGURIDAD DE LA INFORMACIÓN/[mapaderiesgocalidad24 (1).xlsx]Opciones Tratamiento'!#REF!,AO19='https://itceduco-my.sharepoint.com/personal/calidad_itc_edu_co/Documents/GESTIÓN PARA LA ALINEACION DE PROCESOS. MAPA V9/Sistemas Integrados de Aseguramiento  ITC 2025/SEGURIDAD DE LA INFORMACIÓN/[mapaderiesgocalidad24 (1).xlsx]Opciones Tratamiento'!#REF!),ISBLANK(AO19),ISTEXT(AO19))</xm:f>
          </x14:formula1>
          <xm:sqref>AQ19</xm:sqref>
        </x14:dataValidation>
        <x14:dataValidation type="custom" allowBlank="1" showInputMessage="1" showErrorMessage="1" error="Recuerde que las acciones se generan bajo la medida de mitigar el riesgo" xr:uid="{837242C7-3E5C-40B4-B13D-1C2285844C73}">
          <x14:formula1>
            <xm:f>IF(OR(AP17='https://itceduco-my.sharepoint.com/personal/calidad_itc_edu_co/Documents/GESTIÓN PARA LA ALINEACION DE PROCESOS. MAPA V9/Sistemas Integrados de Aseguramiento  ITC 2025/SEGURIDAD DE LA INFORMACIÓN/[mapaderiesgocalidad24 (1).xlsx]Opciones Tratamiento'!#REF!,AP17='https://itceduco-my.sharepoint.com/personal/calidad_itc_edu_co/Documents/GESTIÓN PARA LA ALINEACION DE PROCESOS. MAPA V9/Sistemas Integrados de Aseguramiento  ITC 2025/SEGURIDAD DE LA INFORMACIÓN/[mapaderiesgocalidad24 (1).xlsx]Opciones Tratamiento'!#REF!,AP17='https://itceduco-my.sharepoint.com/personal/calidad_itc_edu_co/Documents/GESTIÓN PARA LA ALINEACION DE PROCESOS. MAPA V9/Sistemas Integrados de Aseguramiento  ITC 2025/SEGURIDAD DE LA INFORMACIÓN/[mapaderiesgocalidad24 (1).xlsx]Opciones Tratamiento'!#REF!),ISBLANK(AP17),ISTEXT(AP17))</xm:f>
          </x14:formula1>
          <xm:sqref>AQ17</xm:sqref>
        </x14:dataValidation>
        <x14:dataValidation type="list" allowBlank="1" showInputMessage="1" showErrorMessage="1" xr:uid="{1EE3D00D-0624-44FA-B34A-6F41B5FD3E42}">
          <x14:formula1>
            <xm:f>'H:\CONTRATOS\ETITC\2025\Riesgos 2025\[2025MapadeRiesgosControlInterno.xlsx]Hoja2'!#REF!</xm:f>
          </x14:formula1>
          <xm:sqref>E21:G22</xm:sqref>
        </x14:dataValidation>
        <x14:dataValidation type="custom" allowBlank="1" showInputMessage="1" showErrorMessage="1" error="Recuerde que las acciones se generan bajo la medida de mitigar el riesgo" xr:uid="{4A40CB39-B713-4F54-92CE-662D94CB2502}">
          <x14:formula1>
            <xm:f>IF(OR(AU21='H:\CONTRATOS\ETITC\2025\Riesgos 2025\[2025MapadeRiesgosControlInterno.xlsx]Opciones Tratamiento'!#REF!,AU21='H:\CONTRATOS\ETITC\2025\Riesgos 2025\[2025MapadeRiesgosControlInterno.xlsx]Opciones Tratamiento'!#REF!,AU21='H:\CONTRATOS\ETITC\2025\Riesgos 2025\[2025MapadeRiesgosControlInterno.xlsx]Opciones Tratamiento'!#REF!),ISBLANK(AU21),ISTEXT(AU21))</xm:f>
          </x14:formula1>
          <xm:sqref>BA21:BA22</xm:sqref>
        </x14:dataValidation>
        <x14:dataValidation type="list" allowBlank="1" showInputMessage="1" showErrorMessage="1" xr:uid="{3574B57F-8212-43C5-A0CA-C9D524A6965F}">
          <x14:formula1>
            <xm:f>'H:\CONTRATOS\ETITC\2025\Riesgos 2025\[2025MapadeRiesgosControlInterno.xlsx]Listas'!#REF!</xm:f>
          </x14:formula1>
          <xm:sqref>H21:H22 N21:O22</xm:sqref>
        </x14:dataValidation>
        <x14:dataValidation type="custom" allowBlank="1" showInputMessage="1" showErrorMessage="1" error="Recuerde que las acciones se generan bajo la medida de mitigar el riesgo" xr:uid="{7254BEF8-6364-4CD6-8B0A-307152B966D6}">
          <x14:formula1>
            <xm:f>IF(OR(AO21='H:\CONTRATOS\ETITC\2025\Riesgos 2025\[2025MapadeRiesgosControlInterno.xlsx]Opciones Tratamiento'!#REF!,AO21='H:\CONTRATOS\ETITC\2025\Riesgos 2025\[2025MapadeRiesgosControlInterno.xlsx]Opciones Tratamiento'!#REF!,AO21='H:\CONTRATOS\ETITC\2025\Riesgos 2025\[2025MapadeRiesgosControlInterno.xlsx]Opciones Tratamiento'!#REF!),ISBLANK(AO21),ISTEXT(AO21))</xm:f>
          </x14:formula1>
          <xm:sqref>AW21:AW22 AZ21:AZ22 AT21:AT22</xm:sqref>
        </x14:dataValidation>
        <x14:dataValidation type="custom" allowBlank="1" showInputMessage="1" showErrorMessage="1" error="Recuerde que las acciones se generan bajo la medida de mitigar el riesgo" xr:uid="{2911DBDF-1C19-4F7F-A80D-7EDBC3AF2222}">
          <x14:formula1>
            <xm:f>IF(OR(AO21='H:\CONTRATOS\ETITC\2025\Riesgos 2025\[2025MapadeRiesgosControlInterno.xlsx]Opciones Tratamiento'!#REF!,AO21='H:\CONTRATOS\ETITC\2025\Riesgos 2025\[2025MapadeRiesgosControlInterno.xlsx]Opciones Tratamiento'!#REF!,AO21='H:\CONTRATOS\ETITC\2025\Riesgos 2025\[2025MapadeRiesgosControlInterno.xlsx]Opciones Tratamiento'!#REF!),ISBLANK(AO21),ISTEXT(AO21))</xm:f>
          </x14:formula1>
          <xm:sqref>AV21:AV22 AS21:AS22</xm:sqref>
        </x14:dataValidation>
        <x14:dataValidation type="custom" allowBlank="1" showInputMessage="1" showErrorMessage="1" error="Recuerde que las acciones se generan bajo la medida de mitigar el riesgo" xr:uid="{922322A5-3516-4CF2-A95A-88EBA4A71CE7}">
          <x14:formula1>
            <xm:f>IF(OR(AO21='H:\CONTRATOS\ETITC\2025\Riesgos 2025\[2025MapadeRiesgosControlInterno.xlsx]Opciones Tratamiento'!#REF!,AO21='H:\CONTRATOS\ETITC\2025\Riesgos 2025\[2025MapadeRiesgosControlInterno.xlsx]Opciones Tratamiento'!#REF!,AO21='H:\CONTRATOS\ETITC\2025\Riesgos 2025\[2025MapadeRiesgosControlInterno.xlsx]Opciones Tratamiento'!#REF!),ISBLANK(AO21),ISTEXT(AO21))</xm:f>
          </x14:formula1>
          <xm:sqref>AR21:AR22</xm:sqref>
        </x14:dataValidation>
        <x14:dataValidation type="custom" allowBlank="1" showInputMessage="1" showErrorMessage="1" error="Recuerde que las acciones se generan bajo la medida de mitigar el riesgo" xr:uid="{851993B3-632B-4D66-9314-B6E7CE53B14F}">
          <x14:formula1>
            <xm:f>IF(OR(AO21='H:\CONTRATOS\ETITC\2025\Riesgos 2025\[2025MapadeRiesgosControlInterno.xlsx]Opciones Tratamiento'!#REF!,AO21='H:\CONTRATOS\ETITC\2025\Riesgos 2025\[2025MapadeRiesgosControlInterno.xlsx]Opciones Tratamiento'!#REF!,AO21='H:\CONTRATOS\ETITC\2025\Riesgos 2025\[2025MapadeRiesgosControlInterno.xlsx]Opciones Tratamiento'!#REF!),ISBLANK(AO21),ISTEXT(AO21))</xm:f>
          </x14:formula1>
          <xm:sqref>AQ21:AQ22</xm:sqref>
        </x14:dataValidation>
        <x14:dataValidation type="custom" allowBlank="1" showInputMessage="1" showErrorMessage="1" error="Recuerde que las acciones se generan bajo la medida de mitigar el riesgo" xr:uid="{F34172EE-68B0-40C9-B46E-A5668FF52161}">
          <x14:formula1>
            <xm:f>IF(OR(AO21='H:\CONTRATOS\ETITC\2025\Riesgos 2025\[2025MapadeRiesgosControlInterno.xlsx]Opciones Tratamiento'!#REF!,AO21='H:\CONTRATOS\ETITC\2025\Riesgos 2025\[2025MapadeRiesgosControlInterno.xlsx]Opciones Tratamiento'!#REF!,AO21='H:\CONTRATOS\ETITC\2025\Riesgos 2025\[2025MapadeRiesgosControlInterno.xlsx]Opciones Tratamiento'!#REF!),ISBLANK(AO21),ISTEXT(AO21))</xm:f>
          </x14:formula1>
          <xm:sqref>AP21:AP22</xm:sqref>
        </x14:dataValidation>
        <x14:dataValidation type="list" allowBlank="1" showInputMessage="1" showErrorMessage="1" xr:uid="{EA02552D-BC46-45C2-AEA1-8EBFCE005F0E}">
          <x14:formula1>
            <xm:f>'H:\CONTRATOS\ETITC\2025\Riesgos 2025\[2025MapadeRiesgosControlInterno.xlsx]Tabla Impacto'!#REF!</xm:f>
          </x14:formula1>
          <xm:sqref>S21:S22</xm:sqref>
        </x14:dataValidation>
        <x14:dataValidation type="list" allowBlank="1" showInputMessage="1" showErrorMessage="1" xr:uid="{4C03AA88-01BB-478A-830D-045B64C7B2F4}">
          <x14:formula1>
            <xm:f>'H:\CONTRATOS\ETITC\2025\Riesgos 2025\[2025MapadeRiesgosControlInterno.xlsx]Opciones Tratamiento'!#REF!</xm:f>
          </x14:formula1>
          <xm:sqref>AO21:AO22 AX21:AY22 BB21:BB22 AU21:AU22 M21:M22</xm:sqref>
        </x14:dataValidation>
        <x14:dataValidation type="list" allowBlank="1" showInputMessage="1" showErrorMessage="1" xr:uid="{93F231C3-9A2D-4DFC-8648-C84580B868BF}">
          <x14:formula1>
            <xm:f>'H:\CONTRATOS\ETITC\2025\Riesgos 2025\[2025MapadeRiesgosControlInterno.xlsx]Tabla Valoración controles'!#REF!</xm:f>
          </x14:formula1>
          <xm:sqref>AB21:AC22 AE21:AG22</xm:sqref>
        </x14:dataValidation>
        <x14:dataValidation type="list" allowBlank="1" showInputMessage="1" showErrorMessage="1" xr:uid="{98536F60-E37E-4730-98E0-846ACCCD7B9B}">
          <x14:formula1>
            <xm:f>LISTA!$R$3:$R$9</xm:f>
          </x14:formula1>
          <xm:sqref>AU15:AU20</xm:sqref>
        </x14:dataValidation>
        <x14:dataValidation type="list" allowBlank="1" showInputMessage="1" showErrorMessage="1" xr:uid="{A465D47C-EC90-455F-BD8F-A70E38C1ABC7}">
          <x14:formula1>
            <xm:f>'Tabla Impacto'!$F$210:$F$225</xm:f>
          </x14:formula1>
          <xm:sqref>S15:S16</xm:sqref>
        </x14:dataValidation>
        <x14:dataValidation type="custom" allowBlank="1" showInputMessage="1" showErrorMessage="1" error="Recuerde que las acciones se generan bajo la medida de mitigar el riesgo" xr:uid="{FEC434E2-0012-4C79-9A7C-D712BEB33C6B}">
          <x14:formula1>
            <xm:f>IF(OR(AU15='Opciones Tratamiento'!$B$2,AU15='Opciones Tratamiento'!$B$3,AU15='Opciones Tratamiento'!$B$4),ISBLANK(AU15),ISTEXT(AU15))</xm:f>
          </x14:formula1>
          <xm:sqref>AZ15:AZ20</xm:sqref>
        </x14:dataValidation>
        <x14:dataValidation type="custom" allowBlank="1" showInputMessage="1" showErrorMessage="1" error="Recuerde que las acciones se generan bajo la medida de mitigar el riesgo" xr:uid="{403E4756-0952-4893-B511-BEFBBD727F82}">
          <x14:formula1>
            <xm:f>IF(OR(AU15='Opciones Tratamiento'!$B$2,AU15='Opciones Tratamiento'!$B$3,AU15='Opciones Tratamiento'!$B$4),ISBLANK(AU15),ISTEXT(AU15))</xm:f>
          </x14:formula1>
          <xm:sqref>BA15:BA20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DCF5-CCAC-4882-A9D1-B48E9B40D06F}">
  <sheetPr>
    <tabColor rgb="FF287840"/>
  </sheetPr>
  <dimension ref="A1:CB30"/>
  <sheetViews>
    <sheetView showGridLines="0" topLeftCell="A3" zoomScale="30" zoomScaleNormal="30" zoomScaleSheetLayoutView="77" workbookViewId="0">
      <selection activeCell="I10" sqref="I10"/>
    </sheetView>
  </sheetViews>
  <sheetFormatPr baseColWidth="10" defaultColWidth="11.42578125" defaultRowHeight="14.25" x14ac:dyDescent="0.2"/>
  <cols>
    <col min="1" max="1" width="11.42578125" style="165"/>
    <col min="2" max="2" width="3" style="165" customWidth="1"/>
    <col min="3" max="3" width="2.5703125" style="165" customWidth="1"/>
    <col min="4" max="4" width="4.7109375" style="166" customWidth="1"/>
    <col min="5" max="5" width="14.7109375" style="166" customWidth="1"/>
    <col min="6" max="6" width="18.28515625" style="166" customWidth="1"/>
    <col min="7" max="8" width="12" style="166" customWidth="1"/>
    <col min="9" max="9" width="32.85546875" style="166" customWidth="1"/>
    <col min="10" max="10" width="16.28515625" style="166" customWidth="1"/>
    <col min="11" max="11" width="25.5703125" style="166" customWidth="1"/>
    <col min="12" max="12" width="32.42578125" style="165" customWidth="1"/>
    <col min="13" max="15" width="19" style="167" customWidth="1"/>
    <col min="16" max="16" width="17.7109375" style="165" customWidth="1"/>
    <col min="17" max="17" width="16.42578125" style="165" customWidth="1"/>
    <col min="18" max="18" width="6.28515625" style="165" customWidth="1"/>
    <col min="19" max="19" width="27.28515625" style="165" customWidth="1"/>
    <col min="20" max="20" width="17" style="165" customWidth="1"/>
    <col min="21" max="21" width="17.42578125" style="165" customWidth="1"/>
    <col min="22" max="22" width="6.28515625" style="165" customWidth="1"/>
    <col min="23" max="23" width="16" style="165" customWidth="1"/>
    <col min="24" max="24" width="5.7109375" style="165" customWidth="1"/>
    <col min="25" max="25" width="37.28515625" style="165" customWidth="1"/>
    <col min="26" max="26" width="58.140625" style="165" customWidth="1"/>
    <col min="27" max="27" width="15.140625" style="165" customWidth="1"/>
    <col min="28" max="28" width="6.7109375" style="165" customWidth="1"/>
    <col min="29" max="29" width="5" style="165" customWidth="1"/>
    <col min="30" max="30" width="5.42578125" style="165" customWidth="1"/>
    <col min="31" max="31" width="7.140625" style="165" customWidth="1"/>
    <col min="32" max="32" width="6.7109375" style="165" customWidth="1"/>
    <col min="33" max="33" width="12.5703125" style="165" customWidth="1"/>
    <col min="34" max="34" width="24.140625" style="165" customWidth="1"/>
    <col min="35" max="35" width="13.7109375" style="165" customWidth="1"/>
    <col min="36" max="36" width="8.7109375" style="165" customWidth="1"/>
    <col min="37" max="37" width="10.42578125" style="165" customWidth="1"/>
    <col min="38" max="38" width="9.28515625" style="165" customWidth="1"/>
    <col min="39" max="39" width="9.140625" style="165" customWidth="1"/>
    <col min="40" max="40" width="8.42578125" style="165" customWidth="1"/>
    <col min="41" max="41" width="7.28515625" style="165" customWidth="1"/>
    <col min="42" max="42" width="33.85546875" style="165" customWidth="1"/>
    <col min="43" max="43" width="18.7109375" style="165" customWidth="1"/>
    <col min="44" max="44" width="16.7109375" style="165" customWidth="1"/>
    <col min="45" max="45" width="14.7109375" style="165" customWidth="1"/>
    <col min="46" max="46" width="18.42578125" style="165" customWidth="1"/>
    <col min="47" max="47" width="21" style="165" customWidth="1"/>
    <col min="48" max="48" width="14.140625" style="165" customWidth="1"/>
    <col min="49" max="49" width="38.28515625" style="936" customWidth="1"/>
    <col min="50" max="51" width="20.7109375" style="165" customWidth="1"/>
    <col min="52" max="52" width="15.42578125" style="165" customWidth="1"/>
    <col min="53" max="53" width="19.5703125" style="165" customWidth="1"/>
    <col min="54" max="54" width="17.28515625" style="165" customWidth="1"/>
    <col min="55" max="16384" width="11.42578125" style="165"/>
  </cols>
  <sheetData>
    <row r="1" spans="1:80" ht="15" thickBot="1" x14ac:dyDescent="0.25"/>
    <row r="2" spans="1:80" ht="27.75" customHeight="1" x14ac:dyDescent="0.2">
      <c r="D2" s="545" t="s">
        <v>299</v>
      </c>
      <c r="E2" s="546"/>
      <c r="F2" s="546"/>
      <c r="G2" s="546"/>
      <c r="H2" s="546"/>
      <c r="I2" s="553" t="s">
        <v>203</v>
      </c>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567" t="s">
        <v>323</v>
      </c>
      <c r="BB2" s="558"/>
    </row>
    <row r="3" spans="1:80" ht="27.75" customHeight="1" x14ac:dyDescent="0.2">
      <c r="D3" s="547"/>
      <c r="E3" s="548"/>
      <c r="F3" s="548"/>
      <c r="G3" s="548"/>
      <c r="H3" s="548"/>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9" t="s">
        <v>240</v>
      </c>
      <c r="BB3" s="559"/>
    </row>
    <row r="4" spans="1:80" ht="27.75" customHeight="1" x14ac:dyDescent="0.2">
      <c r="D4" s="547"/>
      <c r="E4" s="548"/>
      <c r="F4" s="548"/>
      <c r="G4" s="548"/>
      <c r="H4" s="548"/>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9" t="s">
        <v>333</v>
      </c>
      <c r="BB4" s="559"/>
    </row>
    <row r="5" spans="1:80" ht="27.75" customHeight="1" thickBot="1" x14ac:dyDescent="0.3">
      <c r="A5" s="250"/>
      <c r="D5" s="549"/>
      <c r="E5" s="550"/>
      <c r="F5" s="550"/>
      <c r="G5" s="550"/>
      <c r="H5" s="550"/>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553"/>
      <c r="AZ5" s="553"/>
      <c r="BA5" s="559" t="s">
        <v>204</v>
      </c>
      <c r="BB5" s="559"/>
    </row>
    <row r="6" spans="1:80" ht="13.9" customHeight="1" x14ac:dyDescent="0.25">
      <c r="D6" s="119"/>
      <c r="E6" s="120"/>
      <c r="F6" s="120"/>
      <c r="G6" s="120"/>
      <c r="H6" s="120"/>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937"/>
      <c r="AX6" s="168"/>
      <c r="AY6" s="168"/>
      <c r="AZ6" s="168"/>
      <c r="BA6" s="122"/>
      <c r="BB6" s="121"/>
    </row>
    <row r="7" spans="1:80" ht="26.25" customHeight="1" x14ac:dyDescent="0.2">
      <c r="D7" s="538" t="s">
        <v>41</v>
      </c>
      <c r="E7" s="539"/>
      <c r="F7" s="539"/>
      <c r="G7" s="540"/>
      <c r="H7" s="541" t="s">
        <v>460</v>
      </c>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3"/>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row>
    <row r="8" spans="1:80" ht="30" customHeight="1" x14ac:dyDescent="0.2">
      <c r="D8" s="538" t="s">
        <v>128</v>
      </c>
      <c r="E8" s="539"/>
      <c r="F8" s="539"/>
      <c r="G8" s="540"/>
      <c r="H8" s="541" t="s">
        <v>461</v>
      </c>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3"/>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row>
    <row r="9" spans="1:80" ht="24" customHeight="1" x14ac:dyDescent="0.2">
      <c r="D9" s="538" t="s">
        <v>42</v>
      </c>
      <c r="E9" s="539"/>
      <c r="F9" s="539"/>
      <c r="G9" s="540"/>
      <c r="H9" s="541" t="s">
        <v>462</v>
      </c>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3"/>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row>
    <row r="10" spans="1:80" s="170" customFormat="1" ht="24" customHeight="1" x14ac:dyDescent="0.2">
      <c r="D10" s="171"/>
      <c r="E10" s="172"/>
      <c r="F10" s="173"/>
      <c r="G10" s="173"/>
      <c r="H10" s="171"/>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5"/>
      <c r="AW10" s="938"/>
      <c r="AX10" s="175"/>
      <c r="AY10" s="175"/>
      <c r="AZ10" s="175"/>
      <c r="BA10" s="175"/>
      <c r="BB10" s="175"/>
    </row>
    <row r="11" spans="1:80" s="170" customFormat="1" ht="24" customHeight="1" x14ac:dyDescent="0.25">
      <c r="A11" s="521" t="s">
        <v>264</v>
      </c>
      <c r="B11" s="521"/>
      <c r="C11" s="522"/>
      <c r="D11" s="523" t="s">
        <v>302</v>
      </c>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5" t="s">
        <v>300</v>
      </c>
      <c r="AW11" s="526"/>
      <c r="AX11" s="526"/>
      <c r="AY11" s="527"/>
      <c r="AZ11" s="528" t="s">
        <v>301</v>
      </c>
      <c r="BA11" s="529"/>
      <c r="BB11" s="530"/>
    </row>
    <row r="12" spans="1:80" ht="15.75" x14ac:dyDescent="0.2">
      <c r="D12" s="511" t="s">
        <v>136</v>
      </c>
      <c r="E12" s="511"/>
      <c r="F12" s="511"/>
      <c r="G12" s="511"/>
      <c r="H12" s="511"/>
      <c r="I12" s="531"/>
      <c r="J12" s="531"/>
      <c r="K12" s="531"/>
      <c r="L12" s="531"/>
      <c r="M12" s="531"/>
      <c r="N12" s="531"/>
      <c r="O12" s="531"/>
      <c r="P12" s="531"/>
      <c r="Q12" s="531" t="s">
        <v>137</v>
      </c>
      <c r="R12" s="531"/>
      <c r="S12" s="531"/>
      <c r="T12" s="531"/>
      <c r="U12" s="531"/>
      <c r="V12" s="531"/>
      <c r="W12" s="531"/>
      <c r="X12" s="531" t="s">
        <v>138</v>
      </c>
      <c r="Y12" s="531"/>
      <c r="Z12" s="531"/>
      <c r="AA12" s="531"/>
      <c r="AB12" s="531"/>
      <c r="AC12" s="531"/>
      <c r="AD12" s="531"/>
      <c r="AE12" s="531"/>
      <c r="AF12" s="531"/>
      <c r="AG12" s="531"/>
      <c r="AH12" s="588" t="s">
        <v>17</v>
      </c>
      <c r="AI12" s="531" t="s">
        <v>139</v>
      </c>
      <c r="AJ12" s="531"/>
      <c r="AK12" s="531"/>
      <c r="AL12" s="531"/>
      <c r="AM12" s="531"/>
      <c r="AN12" s="531"/>
      <c r="AO12" s="531"/>
      <c r="AP12" s="535" t="s">
        <v>33</v>
      </c>
      <c r="AQ12" s="536"/>
      <c r="AR12" s="536"/>
      <c r="AS12" s="536"/>
      <c r="AT12" s="536"/>
      <c r="AU12" s="536"/>
      <c r="AV12" s="536"/>
      <c r="AW12" s="536"/>
      <c r="AX12" s="536"/>
      <c r="AY12" s="536"/>
      <c r="AZ12" s="536"/>
      <c r="BA12" s="536"/>
      <c r="BB12" s="536"/>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row>
    <row r="13" spans="1:80" ht="16.5" customHeight="1" x14ac:dyDescent="0.2">
      <c r="D13" s="537" t="s">
        <v>0</v>
      </c>
      <c r="E13" s="510" t="s">
        <v>309</v>
      </c>
      <c r="F13" s="176"/>
      <c r="G13" s="176"/>
      <c r="H13" s="511" t="s">
        <v>222</v>
      </c>
      <c r="I13" s="510" t="s">
        <v>305</v>
      </c>
      <c r="J13" s="177"/>
      <c r="K13" s="510" t="s">
        <v>306</v>
      </c>
      <c r="L13" s="511" t="s">
        <v>1</v>
      </c>
      <c r="M13" s="510" t="s">
        <v>48</v>
      </c>
      <c r="N13" s="562" t="s">
        <v>369</v>
      </c>
      <c r="O13" s="563"/>
      <c r="P13" s="510" t="s">
        <v>132</v>
      </c>
      <c r="Q13" s="510" t="s">
        <v>32</v>
      </c>
      <c r="R13" s="511" t="s">
        <v>5</v>
      </c>
      <c r="S13" s="510" t="s">
        <v>85</v>
      </c>
      <c r="T13" s="510" t="s">
        <v>90</v>
      </c>
      <c r="U13" s="510" t="s">
        <v>43</v>
      </c>
      <c r="V13" s="511" t="s">
        <v>5</v>
      </c>
      <c r="W13" s="510" t="s">
        <v>46</v>
      </c>
      <c r="X13" s="512" t="s">
        <v>10</v>
      </c>
      <c r="Y13" s="510" t="s">
        <v>158</v>
      </c>
      <c r="Z13" s="510" t="s">
        <v>456</v>
      </c>
      <c r="AA13" s="510" t="s">
        <v>11</v>
      </c>
      <c r="AB13" s="510" t="s">
        <v>455</v>
      </c>
      <c r="AC13" s="510"/>
      <c r="AD13" s="510"/>
      <c r="AE13" s="510"/>
      <c r="AF13" s="510"/>
      <c r="AG13" s="510"/>
      <c r="AH13" s="589"/>
      <c r="AI13" s="512" t="s">
        <v>135</v>
      </c>
      <c r="AJ13" s="512" t="s">
        <v>44</v>
      </c>
      <c r="AK13" s="512" t="s">
        <v>5</v>
      </c>
      <c r="AL13" s="512" t="s">
        <v>45</v>
      </c>
      <c r="AM13" s="512" t="s">
        <v>5</v>
      </c>
      <c r="AN13" s="512" t="s">
        <v>47</v>
      </c>
      <c r="AO13" s="512" t="s">
        <v>28</v>
      </c>
      <c r="AP13" s="510" t="s">
        <v>33</v>
      </c>
      <c r="AQ13" s="510" t="s">
        <v>34</v>
      </c>
      <c r="AR13" s="510" t="s">
        <v>35</v>
      </c>
      <c r="AS13" s="510" t="s">
        <v>36</v>
      </c>
      <c r="AT13" s="510" t="s">
        <v>210</v>
      </c>
      <c r="AU13" s="510" t="s">
        <v>37</v>
      </c>
      <c r="AV13" s="518" t="s">
        <v>36</v>
      </c>
      <c r="AW13" s="939" t="s">
        <v>211</v>
      </c>
      <c r="AX13" s="505" t="s">
        <v>37</v>
      </c>
      <c r="AY13" s="507" t="s">
        <v>241</v>
      </c>
      <c r="AZ13" s="509" t="s">
        <v>36</v>
      </c>
      <c r="BA13" s="509" t="s">
        <v>212</v>
      </c>
      <c r="BB13" s="509" t="s">
        <v>37</v>
      </c>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row>
    <row r="14" spans="1:80" s="181" customFormat="1" ht="95.25" customHeight="1" x14ac:dyDescent="0.25">
      <c r="A14" s="178"/>
      <c r="B14" s="178"/>
      <c r="C14" s="178"/>
      <c r="D14" s="537"/>
      <c r="E14" s="510"/>
      <c r="F14" s="176" t="s">
        <v>2</v>
      </c>
      <c r="G14" s="177" t="s">
        <v>314</v>
      </c>
      <c r="H14" s="511"/>
      <c r="I14" s="510"/>
      <c r="J14" s="177" t="s">
        <v>354</v>
      </c>
      <c r="K14" s="510"/>
      <c r="L14" s="511"/>
      <c r="M14" s="510"/>
      <c r="N14" s="213" t="s">
        <v>238</v>
      </c>
      <c r="O14" s="213" t="s">
        <v>239</v>
      </c>
      <c r="P14" s="510"/>
      <c r="Q14" s="510"/>
      <c r="R14" s="511"/>
      <c r="S14" s="510"/>
      <c r="T14" s="510"/>
      <c r="U14" s="511"/>
      <c r="V14" s="511"/>
      <c r="W14" s="510"/>
      <c r="X14" s="512"/>
      <c r="Y14" s="510"/>
      <c r="Z14" s="510"/>
      <c r="AA14" s="510"/>
      <c r="AB14" s="179" t="s">
        <v>12</v>
      </c>
      <c r="AC14" s="179" t="s">
        <v>16</v>
      </c>
      <c r="AD14" s="179" t="s">
        <v>27</v>
      </c>
      <c r="AE14" s="179" t="s">
        <v>17</v>
      </c>
      <c r="AF14" s="179" t="s">
        <v>20</v>
      </c>
      <c r="AG14" s="179" t="s">
        <v>23</v>
      </c>
      <c r="AH14" s="531"/>
      <c r="AI14" s="512"/>
      <c r="AJ14" s="512"/>
      <c r="AK14" s="512"/>
      <c r="AL14" s="512"/>
      <c r="AM14" s="512"/>
      <c r="AN14" s="512"/>
      <c r="AO14" s="512"/>
      <c r="AP14" s="510"/>
      <c r="AQ14" s="510"/>
      <c r="AR14" s="510"/>
      <c r="AS14" s="510"/>
      <c r="AT14" s="510"/>
      <c r="AU14" s="510"/>
      <c r="AV14" s="519"/>
      <c r="AW14" s="940"/>
      <c r="AX14" s="506"/>
      <c r="AY14" s="508"/>
      <c r="AZ14" s="509"/>
      <c r="BA14" s="509"/>
      <c r="BB14" s="509"/>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row>
    <row r="15" spans="1:80" s="181" customFormat="1" ht="19.5" customHeight="1" x14ac:dyDescent="0.25">
      <c r="A15" s="178"/>
      <c r="B15" s="178"/>
      <c r="C15" s="178"/>
      <c r="D15" s="297"/>
      <c r="E15" s="296"/>
      <c r="F15" s="298"/>
      <c r="G15" s="296"/>
      <c r="H15" s="176"/>
      <c r="I15" s="177"/>
      <c r="J15" s="177"/>
      <c r="K15" s="177"/>
      <c r="L15" s="298"/>
      <c r="M15" s="296"/>
      <c r="N15" s="213"/>
      <c r="O15" s="213"/>
      <c r="P15" s="177"/>
      <c r="Q15" s="296"/>
      <c r="R15" s="298"/>
      <c r="S15" s="177"/>
      <c r="T15" s="177"/>
      <c r="U15" s="298"/>
      <c r="V15" s="176"/>
      <c r="W15" s="296"/>
      <c r="X15" s="392"/>
      <c r="Y15" s="177"/>
      <c r="Z15" s="177"/>
      <c r="AA15" s="177"/>
      <c r="AB15" s="179"/>
      <c r="AC15" s="179"/>
      <c r="AD15" s="179"/>
      <c r="AE15" s="179"/>
      <c r="AF15" s="179"/>
      <c r="AG15" s="179"/>
      <c r="AH15" s="390"/>
      <c r="AI15" s="392"/>
      <c r="AJ15" s="396"/>
      <c r="AK15" s="392"/>
      <c r="AL15" s="396"/>
      <c r="AM15" s="392"/>
      <c r="AN15" s="396"/>
      <c r="AO15" s="392"/>
      <c r="AP15" s="177"/>
      <c r="AQ15" s="177"/>
      <c r="AR15" s="177"/>
      <c r="AS15" s="177"/>
      <c r="AT15" s="177"/>
      <c r="AU15" s="177"/>
      <c r="AV15" s="393"/>
      <c r="AW15" s="941"/>
      <c r="AX15" s="394"/>
      <c r="AY15" s="395"/>
      <c r="AZ15" s="391"/>
      <c r="BA15" s="391"/>
      <c r="BB15" s="391"/>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row>
    <row r="16" spans="1:80" s="225" customFormat="1" ht="163.5" customHeight="1" x14ac:dyDescent="0.25">
      <c r="D16" s="473">
        <v>1</v>
      </c>
      <c r="E16" s="473" t="s">
        <v>215</v>
      </c>
      <c r="F16" s="473" t="s">
        <v>131</v>
      </c>
      <c r="G16" s="473" t="s">
        <v>311</v>
      </c>
      <c r="H16" s="183" t="s">
        <v>223</v>
      </c>
      <c r="I16" s="182" t="s">
        <v>463</v>
      </c>
      <c r="J16" s="182"/>
      <c r="K16" s="182" t="s">
        <v>464</v>
      </c>
      <c r="L16" s="456" t="s">
        <v>465</v>
      </c>
      <c r="M16" s="450" t="s">
        <v>355</v>
      </c>
      <c r="N16" s="182" t="s">
        <v>233</v>
      </c>
      <c r="O16" s="182" t="s">
        <v>233</v>
      </c>
      <c r="P16" s="182">
        <v>2</v>
      </c>
      <c r="Q16" s="448" t="str">
        <f>IF(P16&lt;=0,"",IF(P16&lt;=2,"Muy Baja",IF(P16&lt;=24,"Baja",IF(P16&lt;=500,"Media",IF(P16&lt;=5000,"Alta","Muy Alta")))))</f>
        <v>Muy Baja</v>
      </c>
      <c r="R16" s="460">
        <f>IF(Q16="","",IF(Q16="Muy Baja",0.2,IF(Q16="Baja",0.4,IF(Q16="Media",0.6,IF(Q16="Alta",0.8,IF(Q16="Muy Alta",1,))))))</f>
        <v>0.2</v>
      </c>
      <c r="S16" s="194" t="s">
        <v>145</v>
      </c>
      <c r="T16" s="189" t="str">
        <f>IF(NOT(ISERROR(MATCH(S16,'[11]Tabla Impacto'!$B$221:$B$223,0))),'[11]Tabla Impacto'!$F$223&amp;"Por favor no seleccionar los criterios de impacto(Afectación Económica o presupuestal y Pérdida Reputacional)",S16)</f>
        <v xml:space="preserve">     Entre 10 y 50 SMLMV </v>
      </c>
      <c r="U16" s="448" t="str">
        <f>IF(OR(T16='[11]Tabla Impacto'!$C$11,T16='[11]Tabla Impacto'!$D$11),"Leve",IF(OR(T16='[11]Tabla Impacto'!$C$12,T16='[11]Tabla Impacto'!$D$12),"Menor",IF(OR(T16='[11]Tabla Impacto'!$C$13,T16='[11]Tabla Impacto'!$D$13),"Moderado",IF(OR(T16='[11]Tabla Impacto'!$C$14,T16='[11]Tabla Impacto'!$D$14),"Mayor",IF(OR(T16='[11]Tabla Impacto'!$C$15,T16='[11]Tabla Impacto'!$D$15),"Catastrófico","")))))</f>
        <v>Menor</v>
      </c>
      <c r="V16" s="189">
        <f>IF(U16="","",IF(U16="Leve",0.2,IF(U16="Menor",0.4,IF(U16="Moderado",0.6,IF(U16="Mayor",0.8,IF(U16="Catastrófico",1,))))))</f>
        <v>0.4</v>
      </c>
      <c r="W16" s="448" t="str">
        <f>IF(OR(AND(Q16="Muy Baja",U16="Leve"),AND(Q16="Muy Baja",U16="Menor"),AND(Q16="Baja",U16="Leve")),"Bajo",IF(OR(AND(Q16="Muy baja",U16="Moderado"),AND(Q16="Baja",U16="Menor"),AND(Q16="Baja",U16="Moderado"),AND(Q16="Media",U16="Leve"),AND(Q16="Media",U16="Menor"),AND(Q16="Media",U16="Moderado"),AND(Q16="Alta",U16="Leve"),AND(Q16="Alta",U16="Menor")),"Moderado",IF(OR(AND(Q16="Muy Baja",U16="Mayor"),AND(Q16="Baja",U16="Mayor"),AND(Q16="Media",U16="Mayor"),AND(Q16="Alta",U16="Moderado"),AND(Q16="Alta",U16="Mayor"),AND(Q16="Muy Alta",U16="Leve"),AND(Q16="Muy Alta",U16="Menor"),AND(Q16="Muy Alta",U16="Moderado"),AND(Q16="Muy Alta",U16="Mayor")),"Alto",IF(OR(AND(Q16="Muy Baja",U16="Catastrófico"),AND(Q16="Baja",U16="Catastrófico"),AND(Q16="Media",U16="Catastrófico"),AND(Q16="Alta",U16="Catastrófico"),AND(Q16="Muy Alta",U16="Catastrófico")),"Extremo",""))))</f>
        <v>Bajo</v>
      </c>
      <c r="X16" s="183">
        <v>1</v>
      </c>
      <c r="Y16" s="158" t="s">
        <v>466</v>
      </c>
      <c r="Z16" s="158" t="s">
        <v>467</v>
      </c>
      <c r="AA16" s="185" t="str">
        <f>IF(OR(AB16="Preventivo",AB16="Detectivo"),"Probabilidad",IF(AB16="Correctivo","Impacto",""))</f>
        <v>Probabilidad</v>
      </c>
      <c r="AB16" s="190" t="s">
        <v>13</v>
      </c>
      <c r="AC16" s="190" t="s">
        <v>8</v>
      </c>
      <c r="AD16" s="189" t="str">
        <f>IF(AND(AB16="Preventivo",AC16="Automático"),"50%",IF(AND(AB16="Preventivo",AC16="Manual"),"40%",IF(AND(AB16="Detectivo",AC16="Automático"),"40%",IF(AND(AB16="Detectivo",AC16="Manual"),"30%",IF(AND(AB16="Correctivo",AC16="Automático"),"35%",IF(AND(AB16="Correctivo",AC16="Manual"),"25%",""))))))</f>
        <v>40%</v>
      </c>
      <c r="AE16" s="190" t="s">
        <v>18</v>
      </c>
      <c r="AF16" s="190" t="s">
        <v>21</v>
      </c>
      <c r="AG16" s="190" t="s">
        <v>118</v>
      </c>
      <c r="AH16" s="182" t="s">
        <v>468</v>
      </c>
      <c r="AI16" s="233">
        <f>IFERROR(IF(AA16="Probabilidad",(R16-(+R16*AD16)),IF(AA16="Impacto",R16,"")),"")</f>
        <v>0.12</v>
      </c>
      <c r="AJ16" s="570" t="str">
        <f>IFERROR(IF(AI16="","",IF(AI16&lt;=0.2,"Muy Baja",IF(AI16&lt;=0.4,"Baja",IF(AI16&lt;=0.6,"Media",IF(AI16&lt;=0.8,"Alta","Muy Alta"))))),"")</f>
        <v>Muy Baja</v>
      </c>
      <c r="AK16" s="189">
        <f>+AI16</f>
        <v>0.12</v>
      </c>
      <c r="AL16" s="570" t="str">
        <f>IFERROR(IF(AM16="","",IF(AM16&lt;=0.2,"Leve",IF(AM16&lt;=0.4,"Menor",IF(AM16&lt;=0.6,"Moderado",IF(AM16&lt;=0.8,"Mayor","Catastrófico"))))),"")</f>
        <v>Menor</v>
      </c>
      <c r="AM16" s="189">
        <f>IFERROR(IF(AA16="Impacto",(V16-(+V16*AD16)),IF(AA16="Probabilidad",V16,"")),"")</f>
        <v>0.4</v>
      </c>
      <c r="AN16" s="570" t="str">
        <f>IFERROR(IF(OR(AND(AJ16="Muy Baja",AL16="Leve"),AND(AJ16="Muy Baja",AL16="Menor"),AND(AJ16="Baja",AL16="Leve")),"Bajo",IF(OR(AND(AJ16="Muy baja",AL16="Moderado"),AND(AJ16="Baja",AL16="Menor"),AND(AJ16="Baja",AL16="Moderado"),AND(AJ16="Media",AL16="Leve"),AND(AJ16="Media",AL16="Menor"),AND(AJ16="Media",AL16="Moderado"),AND(AJ16="Alta",AL16="Leve"),AND(AJ16="Alta",AL16="Menor")),"Moderado",IF(OR(AND(AJ16="Muy Baja",AL16="Mayor"),AND(AJ16="Baja",AL16="Mayor"),AND(AJ16="Media",AL16="Mayor"),AND(AJ16="Alta",AL16="Moderado"),AND(AJ16="Alta",AL16="Mayor"),AND(AJ16="Muy Alta",AL16="Leve"),AND(AJ16="Muy Alta",AL16="Menor"),AND(AJ16="Muy Alta",AL16="Moderado"),AND(AJ16="Muy Alta",AL16="Mayor")),"Alto",IF(OR(AND(AJ16="Muy Baja",AL16="Catastrófico"),AND(AJ16="Baja",AL16="Catastrófico"),AND(AJ16="Media",AL16="Catastrófico"),AND(AJ16="Alta",AL16="Catastrófico"),AND(AJ16="Muy Alta",AL16="Catastrófico")),"Extremo","")))),"")</f>
        <v>Bajo</v>
      </c>
      <c r="AO16" s="190" t="s">
        <v>133</v>
      </c>
      <c r="AP16" s="182" t="s">
        <v>469</v>
      </c>
      <c r="AQ16" s="182" t="s">
        <v>470</v>
      </c>
      <c r="AR16" s="191">
        <v>45687</v>
      </c>
      <c r="AS16" s="191"/>
      <c r="AT16" s="182"/>
      <c r="AU16" s="182"/>
      <c r="AV16" s="931">
        <v>45919</v>
      </c>
      <c r="AW16" s="932" t="s">
        <v>713</v>
      </c>
      <c r="AX16" s="182" t="s">
        <v>39</v>
      </c>
      <c r="AY16" s="933" t="s">
        <v>714</v>
      </c>
      <c r="AZ16" s="191"/>
      <c r="BA16" s="182"/>
      <c r="BB16" s="182"/>
      <c r="BC16" s="229"/>
      <c r="BD16" s="942"/>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row>
    <row r="17" spans="4:80" s="225" customFormat="1" ht="196.5" customHeight="1" x14ac:dyDescent="0.25">
      <c r="D17" s="480"/>
      <c r="E17" s="480"/>
      <c r="F17" s="480"/>
      <c r="G17" s="480"/>
      <c r="H17" s="183" t="s">
        <v>225</v>
      </c>
      <c r="I17" s="182" t="s">
        <v>471</v>
      </c>
      <c r="J17" s="182"/>
      <c r="K17" s="182" t="s">
        <v>472</v>
      </c>
      <c r="L17" s="469"/>
      <c r="M17" s="470"/>
      <c r="N17" s="182" t="s">
        <v>233</v>
      </c>
      <c r="O17" s="182" t="s">
        <v>233</v>
      </c>
      <c r="P17" s="182">
        <v>30</v>
      </c>
      <c r="Q17" s="491"/>
      <c r="R17" s="489"/>
      <c r="S17" s="194" t="s">
        <v>145</v>
      </c>
      <c r="T17" s="189" t="str">
        <f>IF(NOT(ISERROR(MATCH(S17,'[11]Tabla Impacto'!$B$221:$B$223,0))),'[11]Tabla Impacto'!$F$223&amp;"Por favor no seleccionar los criterios de impacto(Afectación Económica o presupuestal y Pérdida Reputacional)",S17)</f>
        <v xml:space="preserve">     Entre 10 y 50 SMLMV </v>
      </c>
      <c r="U17" s="491"/>
      <c r="V17" s="189" t="str">
        <f t="shared" ref="V17:V23" si="0">IF(U17="","",IF(U17="Leve",0.2,IF(U17="Menor",0.4,IF(U17="Moderado",0.6,IF(U17="Mayor",0.8,IF(U17="Catastrófico",1,))))))</f>
        <v/>
      </c>
      <c r="W17" s="491"/>
      <c r="X17" s="183">
        <v>2</v>
      </c>
      <c r="Y17" s="158" t="s">
        <v>473</v>
      </c>
      <c r="Z17" s="158" t="s">
        <v>474</v>
      </c>
      <c r="AA17" s="185" t="str">
        <f t="shared" ref="AA17:AA23" si="1">IF(OR(AB17="Preventivo",AB17="Detectivo"),"Probabilidad",IF(AB17="Correctivo","Impacto",""))</f>
        <v>Probabilidad</v>
      </c>
      <c r="AB17" s="190" t="s">
        <v>13</v>
      </c>
      <c r="AC17" s="190" t="s">
        <v>8</v>
      </c>
      <c r="AD17" s="189" t="str">
        <f t="shared" ref="AD17:AD23" si="2">IF(AND(AB17="Preventivo",AC17="Automático"),"50%",IF(AND(AB17="Preventivo",AC17="Manual"),"40%",IF(AND(AB17="Detectivo",AC17="Automático"),"40%",IF(AND(AB17="Detectivo",AC17="Manual"),"30%",IF(AND(AB17="Correctivo",AC17="Automático"),"35%",IF(AND(AB17="Correctivo",AC17="Manual"),"25%",""))))))</f>
        <v>40%</v>
      </c>
      <c r="AE17" s="190" t="s">
        <v>19</v>
      </c>
      <c r="AF17" s="190" t="s">
        <v>22</v>
      </c>
      <c r="AG17" s="190" t="s">
        <v>117</v>
      </c>
      <c r="AH17" s="182" t="s">
        <v>475</v>
      </c>
      <c r="AI17" s="233">
        <f>IFERROR(IF(AA17="Probabilidad",(R16-(+R16*AD17)),IF(AA17="Impacto",R17,"")),"")</f>
        <v>0.12</v>
      </c>
      <c r="AJ17" s="943"/>
      <c r="AK17" s="189">
        <f t="shared" ref="AK17:AK23" si="3">+AI17</f>
        <v>0.12</v>
      </c>
      <c r="AL17" s="943"/>
      <c r="AM17" s="189" t="str">
        <f t="shared" ref="AM17:AM23" si="4">IFERROR(IF(AA17="Impacto",(V17-(+V17*AD17)),IF(AA17="Probabilidad",V17,"")),"")</f>
        <v/>
      </c>
      <c r="AN17" s="943"/>
      <c r="AO17" s="190" t="s">
        <v>133</v>
      </c>
      <c r="AP17" s="182" t="s">
        <v>476</v>
      </c>
      <c r="AQ17" s="182" t="s">
        <v>470</v>
      </c>
      <c r="AR17" s="191">
        <v>45687</v>
      </c>
      <c r="AS17" s="191"/>
      <c r="AT17" s="182"/>
      <c r="AU17" s="182"/>
      <c r="AV17" s="931">
        <v>45919</v>
      </c>
      <c r="AW17" s="934" t="s">
        <v>715</v>
      </c>
      <c r="AX17" s="182" t="s">
        <v>39</v>
      </c>
      <c r="AY17" s="935" t="s">
        <v>716</v>
      </c>
      <c r="AZ17" s="191"/>
      <c r="BA17" s="182"/>
      <c r="BB17" s="182"/>
      <c r="BC17" s="229"/>
      <c r="BD17" s="944"/>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row>
    <row r="18" spans="4:80" s="225" customFormat="1" ht="172.9" customHeight="1" x14ac:dyDescent="0.25">
      <c r="D18" s="480"/>
      <c r="E18" s="480"/>
      <c r="F18" s="480"/>
      <c r="G18" s="480"/>
      <c r="H18" s="183" t="s">
        <v>216</v>
      </c>
      <c r="I18" s="182" t="s">
        <v>477</v>
      </c>
      <c r="J18" s="182"/>
      <c r="K18" s="182" t="s">
        <v>478</v>
      </c>
      <c r="L18" s="469"/>
      <c r="M18" s="470"/>
      <c r="N18" s="182" t="s">
        <v>233</v>
      </c>
      <c r="O18" s="182" t="s">
        <v>233</v>
      </c>
      <c r="P18" s="182">
        <v>6</v>
      </c>
      <c r="Q18" s="491"/>
      <c r="R18" s="489"/>
      <c r="S18" s="194" t="s">
        <v>145</v>
      </c>
      <c r="T18" s="189" t="str">
        <f>IF(NOT(ISERROR(MATCH(S18,'[11]Tabla Impacto'!$B$221:$B$223,0))),'[11]Tabla Impacto'!$F$223&amp;"Por favor no seleccionar los criterios de impacto(Afectación Económica o presupuestal y Pérdida Reputacional)",S18)</f>
        <v xml:space="preserve">     Entre 10 y 50 SMLMV </v>
      </c>
      <c r="U18" s="491"/>
      <c r="V18" s="189" t="str">
        <f t="shared" si="0"/>
        <v/>
      </c>
      <c r="W18" s="491"/>
      <c r="X18" s="183">
        <v>3</v>
      </c>
      <c r="Y18" s="158" t="s">
        <v>479</v>
      </c>
      <c r="Z18" s="158" t="s">
        <v>480</v>
      </c>
      <c r="AA18" s="185" t="str">
        <f t="shared" si="1"/>
        <v>Probabilidad</v>
      </c>
      <c r="AB18" s="190" t="s">
        <v>14</v>
      </c>
      <c r="AC18" s="190" t="s">
        <v>8</v>
      </c>
      <c r="AD18" s="189" t="str">
        <f t="shared" si="2"/>
        <v>30%</v>
      </c>
      <c r="AE18" s="190" t="s">
        <v>19</v>
      </c>
      <c r="AF18" s="190" t="s">
        <v>22</v>
      </c>
      <c r="AG18" s="190" t="s">
        <v>118</v>
      </c>
      <c r="AH18" s="182"/>
      <c r="AI18" s="233">
        <f>IFERROR(IF(AA18="Probabilidad",(R16-(+R16*AD18)),IF(AA18="Impacto",R18,"")),"")</f>
        <v>0.14000000000000001</v>
      </c>
      <c r="AJ18" s="943"/>
      <c r="AK18" s="189">
        <f t="shared" si="3"/>
        <v>0.14000000000000001</v>
      </c>
      <c r="AL18" s="943"/>
      <c r="AM18" s="189" t="str">
        <f t="shared" si="4"/>
        <v/>
      </c>
      <c r="AN18" s="943"/>
      <c r="AO18" s="190" t="s">
        <v>133</v>
      </c>
      <c r="AP18" s="182" t="s">
        <v>481</v>
      </c>
      <c r="AQ18" s="182" t="s">
        <v>470</v>
      </c>
      <c r="AR18" s="191">
        <v>45687</v>
      </c>
      <c r="AS18" s="191"/>
      <c r="AT18" s="182"/>
      <c r="AU18" s="182"/>
      <c r="AV18" s="931">
        <v>45919</v>
      </c>
      <c r="AW18" s="934" t="s">
        <v>717</v>
      </c>
      <c r="AX18" s="182" t="s">
        <v>39</v>
      </c>
      <c r="AY18" s="397" t="s">
        <v>233</v>
      </c>
      <c r="AZ18" s="191"/>
      <c r="BA18" s="182"/>
      <c r="BB18" s="182"/>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row>
    <row r="19" spans="4:80" s="225" customFormat="1" ht="172.9" customHeight="1" x14ac:dyDescent="0.25">
      <c r="D19" s="474"/>
      <c r="E19" s="474"/>
      <c r="F19" s="474"/>
      <c r="G19" s="474"/>
      <c r="H19" s="183" t="s">
        <v>226</v>
      </c>
      <c r="I19" s="182" t="s">
        <v>482</v>
      </c>
      <c r="J19" s="182"/>
      <c r="K19" s="182" t="s">
        <v>483</v>
      </c>
      <c r="L19" s="457"/>
      <c r="M19" s="451"/>
      <c r="N19" s="182" t="s">
        <v>233</v>
      </c>
      <c r="O19" s="182" t="s">
        <v>233</v>
      </c>
      <c r="P19" s="182">
        <v>1</v>
      </c>
      <c r="Q19" s="449"/>
      <c r="R19" s="461"/>
      <c r="S19" s="194" t="s">
        <v>145</v>
      </c>
      <c r="T19" s="189" t="str">
        <f>IF(NOT(ISERROR(MATCH(S19,'[11]Tabla Impacto'!$B$221:$B$223,0))),'[11]Tabla Impacto'!$F$223&amp;"Por favor no seleccionar los criterios de impacto(Afectación Económica o presupuestal y Pérdida Reputacional)",S19)</f>
        <v xml:space="preserve">     Entre 10 y 50 SMLMV </v>
      </c>
      <c r="U19" s="449"/>
      <c r="V19" s="189" t="str">
        <f t="shared" si="0"/>
        <v/>
      </c>
      <c r="W19" s="449"/>
      <c r="X19" s="183">
        <v>4</v>
      </c>
      <c r="Y19" s="158" t="s">
        <v>484</v>
      </c>
      <c r="Z19" s="158" t="s">
        <v>485</v>
      </c>
      <c r="AA19" s="185" t="str">
        <f t="shared" si="1"/>
        <v>Impacto</v>
      </c>
      <c r="AB19" s="190" t="s">
        <v>15</v>
      </c>
      <c r="AC19" s="190" t="s">
        <v>8</v>
      </c>
      <c r="AD19" s="189" t="str">
        <f t="shared" si="2"/>
        <v>25%</v>
      </c>
      <c r="AE19" s="190" t="s">
        <v>19</v>
      </c>
      <c r="AF19" s="190" t="s">
        <v>21</v>
      </c>
      <c r="AG19" s="190" t="s">
        <v>118</v>
      </c>
      <c r="AH19" s="182"/>
      <c r="AI19" s="233">
        <f>IFERROR(IF(AA19="Probabilidad",(R16-(+R16*AD19)),IF(AA19="Impacto",R16,"")),"")</f>
        <v>0.2</v>
      </c>
      <c r="AJ19" s="571"/>
      <c r="AK19" s="189">
        <f t="shared" si="3"/>
        <v>0.2</v>
      </c>
      <c r="AL19" s="571"/>
      <c r="AM19" s="189" t="str">
        <f t="shared" si="4"/>
        <v/>
      </c>
      <c r="AN19" s="571"/>
      <c r="AO19" s="190" t="s">
        <v>133</v>
      </c>
      <c r="AP19" s="182" t="s">
        <v>486</v>
      </c>
      <c r="AQ19" s="182" t="s">
        <v>470</v>
      </c>
      <c r="AR19" s="191">
        <v>45687</v>
      </c>
      <c r="AS19" s="191"/>
      <c r="AT19" s="182"/>
      <c r="AU19" s="182"/>
      <c r="AV19" s="931">
        <v>45919</v>
      </c>
      <c r="AW19" s="934" t="s">
        <v>718</v>
      </c>
      <c r="AX19" s="182" t="s">
        <v>39</v>
      </c>
      <c r="AY19" s="397" t="s">
        <v>233</v>
      </c>
      <c r="AZ19" s="191"/>
      <c r="BA19" s="182"/>
      <c r="BB19" s="182"/>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row>
    <row r="20" spans="4:80" s="225" customFormat="1" ht="172.9" customHeight="1" x14ac:dyDescent="0.25">
      <c r="D20" s="183">
        <v>5</v>
      </c>
      <c r="E20" s="183"/>
      <c r="F20" s="183"/>
      <c r="G20" s="183"/>
      <c r="H20" s="183"/>
      <c r="I20" s="182"/>
      <c r="J20" s="182"/>
      <c r="K20" s="182"/>
      <c r="L20" s="203"/>
      <c r="M20" s="182"/>
      <c r="N20" s="182"/>
      <c r="O20" s="182"/>
      <c r="P20" s="182"/>
      <c r="Q20" s="193" t="str">
        <f t="shared" ref="Q20:Q23" si="5">IF(P20&lt;=0,"",IF(P20&lt;=2,"Muy Baja",IF(P20&lt;=24,"Baja",IF(P20&lt;=500,"Media",IF(P20&lt;=5000,"Alta","Muy Alta")))))</f>
        <v/>
      </c>
      <c r="R20" s="189" t="str">
        <f t="shared" ref="R20:R23" si="6">IF(Q20="","",IF(Q20="Muy Baja",0.2,IF(Q20="Baja",0.4,IF(Q20="Media",0.6,IF(Q20="Alta",0.8,IF(Q20="Muy Alta",1,))))))</f>
        <v/>
      </c>
      <c r="S20" s="194"/>
      <c r="T20" s="189">
        <f>IF(NOT(ISERROR(MATCH(S20,'[11]Tabla Impacto'!$B$221:$B$223,0))),'[11]Tabla Impacto'!$F$223&amp;"Por favor no seleccionar los criterios de impacto(Afectación Económica o presupuestal y Pérdida Reputacional)",S20)</f>
        <v>0</v>
      </c>
      <c r="U20" s="193" t="str">
        <f>IF(OR(T20='[11]Tabla Impacto'!$C$11,T20='[11]Tabla Impacto'!$D$11),"Leve",IF(OR(T20='[11]Tabla Impacto'!$C$12,T20='[11]Tabla Impacto'!$D$12),"Menor",IF(OR(T20='[11]Tabla Impacto'!$C$13,T20='[11]Tabla Impacto'!$D$13),"Moderado",IF(OR(T20='[11]Tabla Impacto'!$C$14,T20='[11]Tabla Impacto'!$D$14),"Mayor",IF(OR(T20='[11]Tabla Impacto'!$C$15,T20='[11]Tabla Impacto'!$D$15),"Catastrófico","")))))</f>
        <v/>
      </c>
      <c r="V20" s="189" t="str">
        <f t="shared" si="0"/>
        <v/>
      </c>
      <c r="W20" s="193" t="str">
        <f t="shared" ref="W20:W23" si="7">IF(OR(AND(Q20="Muy Baja",U20="Leve"),AND(Q20="Muy Baja",U20="Menor"),AND(Q20="Baja",U20="Leve")),"Bajo",IF(OR(AND(Q20="Muy baja",U20="Moderado"),AND(Q20="Baja",U20="Menor"),AND(Q20="Baja",U20="Moderado"),AND(Q20="Media",U20="Leve"),AND(Q20="Media",U20="Menor"),AND(Q20="Media",U20="Moderado"),AND(Q20="Alta",U20="Leve"),AND(Q20="Alta",U20="Menor")),"Moderado",IF(OR(AND(Q20="Muy Baja",U20="Mayor"),AND(Q20="Baja",U20="Mayor"),AND(Q20="Media",U20="Mayor"),AND(Q20="Alta",U20="Moderado"),AND(Q20="Alta",U20="Mayor"),AND(Q20="Muy Alta",U20="Leve"),AND(Q20="Muy Alta",U20="Menor"),AND(Q20="Muy Alta",U20="Moderado"),AND(Q20="Muy Alta",U20="Mayor")),"Alto",IF(OR(AND(Q20="Muy Baja",U20="Catastrófico"),AND(Q20="Baja",U20="Catastrófico"),AND(Q20="Media",U20="Catastrófico"),AND(Q20="Alta",U20="Catastrófico"),AND(Q20="Muy Alta",U20="Catastrófico")),"Extremo",""))))</f>
        <v/>
      </c>
      <c r="X20" s="183"/>
      <c r="Y20" s="158"/>
      <c r="Z20" s="158"/>
      <c r="AA20" s="185" t="str">
        <f t="shared" si="1"/>
        <v/>
      </c>
      <c r="AB20" s="190"/>
      <c r="AC20" s="190"/>
      <c r="AD20" s="189" t="str">
        <f t="shared" si="2"/>
        <v/>
      </c>
      <c r="AE20" s="190"/>
      <c r="AF20" s="190"/>
      <c r="AG20" s="190"/>
      <c r="AH20" s="190"/>
      <c r="AI20" s="233" t="str">
        <f t="shared" ref="AI20:AI23" si="8">IFERROR(IF(AA20="Probabilidad",(R20-(+R20*AD20)),IF(AA20="Impacto",R20,"")),"")</f>
        <v/>
      </c>
      <c r="AJ20" s="228" t="str">
        <f t="shared" ref="AJ20:AJ23" si="9">IFERROR(IF(AI20="","",IF(AI20&lt;=0.2,"Muy Baja",IF(AI20&lt;=0.4,"Baja",IF(AI20&lt;=0.6,"Media",IF(AI20&lt;=0.8,"Alta","Muy Alta"))))),"")</f>
        <v/>
      </c>
      <c r="AK20" s="189" t="str">
        <f t="shared" si="3"/>
        <v/>
      </c>
      <c r="AL20" s="228" t="str">
        <f t="shared" ref="AL20:AL23" si="10">IFERROR(IF(AM20="","",IF(AM20&lt;=0.2,"Leve",IF(AM20&lt;=0.4,"Menor",IF(AM20&lt;=0.6,"Moderado",IF(AM20&lt;=0.8,"Mayor","Catastrófico"))))),"")</f>
        <v/>
      </c>
      <c r="AM20" s="189" t="str">
        <f t="shared" si="4"/>
        <v/>
      </c>
      <c r="AN20" s="228" t="str">
        <f t="shared" ref="AN20:AN23" si="11">IFERROR(IF(OR(AND(AJ20="Muy Baja",AL20="Leve"),AND(AJ20="Muy Baja",AL20="Menor"),AND(AJ20="Baja",AL20="Leve")),"Bajo",IF(OR(AND(AJ20="Muy baja",AL20="Moderado"),AND(AJ20="Baja",AL20="Menor"),AND(AJ20="Baja",AL20="Moderado"),AND(AJ20="Media",AL20="Leve"),AND(AJ20="Media",AL20="Menor"),AND(AJ20="Media",AL20="Moderado"),AND(AJ20="Alta",AL20="Leve"),AND(AJ20="Alta",AL20="Menor")),"Moderado",IF(OR(AND(AJ20="Muy Baja",AL20="Mayor"),AND(AJ20="Baja",AL20="Mayor"),AND(AJ20="Media",AL20="Mayor"),AND(AJ20="Alta",AL20="Moderado"),AND(AJ20="Alta",AL20="Mayor"),AND(AJ20="Muy Alta",AL20="Leve"),AND(AJ20="Muy Alta",AL20="Menor"),AND(AJ20="Muy Alta",AL20="Moderado"),AND(AJ20="Muy Alta",AL20="Mayor")),"Alto",IF(OR(AND(AJ20="Muy Baja",AL20="Catastrófico"),AND(AJ20="Baja",AL20="Catastrófico"),AND(AJ20="Media",AL20="Catastrófico"),AND(AJ20="Alta",AL20="Catastrófico"),AND(AJ20="Muy Alta",AL20="Catastrófico")),"Extremo","")))),"")</f>
        <v/>
      </c>
      <c r="AO20" s="190"/>
      <c r="AP20" s="182"/>
      <c r="AQ20" s="182"/>
      <c r="AR20" s="191"/>
      <c r="AS20" s="191"/>
      <c r="AT20" s="182"/>
      <c r="AU20" s="182"/>
      <c r="AV20" s="191"/>
      <c r="AW20" s="238"/>
      <c r="AX20" s="182"/>
      <c r="AY20" s="182"/>
      <c r="AZ20" s="191"/>
      <c r="BA20" s="182"/>
      <c r="BB20" s="182"/>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row>
    <row r="21" spans="4:80" s="225" customFormat="1" ht="172.9" customHeight="1" x14ac:dyDescent="0.25">
      <c r="D21" s="183">
        <v>6</v>
      </c>
      <c r="E21" s="183"/>
      <c r="F21" s="183"/>
      <c r="G21" s="183"/>
      <c r="H21" s="183"/>
      <c r="I21" s="182"/>
      <c r="J21" s="182"/>
      <c r="K21" s="182"/>
      <c r="L21" s="203"/>
      <c r="M21" s="182"/>
      <c r="N21" s="182"/>
      <c r="O21" s="182"/>
      <c r="P21" s="182"/>
      <c r="Q21" s="193" t="str">
        <f t="shared" si="5"/>
        <v/>
      </c>
      <c r="R21" s="189" t="str">
        <f t="shared" si="6"/>
        <v/>
      </c>
      <c r="S21" s="194"/>
      <c r="T21" s="189">
        <f>IF(NOT(ISERROR(MATCH(S21,'[11]Tabla Impacto'!$B$221:$B$223,0))),'[11]Tabla Impacto'!$F$223&amp;"Por favor no seleccionar los criterios de impacto(Afectación Económica o presupuestal y Pérdida Reputacional)",S21)</f>
        <v>0</v>
      </c>
      <c r="U21" s="193" t="str">
        <f>IF(OR(T21='[11]Tabla Impacto'!$C$11,T21='[11]Tabla Impacto'!$D$11),"Leve",IF(OR(T21='[11]Tabla Impacto'!$C$12,T21='[11]Tabla Impacto'!$D$12),"Menor",IF(OR(T21='[11]Tabla Impacto'!$C$13,T21='[11]Tabla Impacto'!$D$13),"Moderado",IF(OR(T21='[11]Tabla Impacto'!$C$14,T21='[11]Tabla Impacto'!$D$14),"Mayor",IF(OR(T21='[11]Tabla Impacto'!$C$15,T21='[11]Tabla Impacto'!$D$15),"Catastrófico","")))))</f>
        <v/>
      </c>
      <c r="V21" s="189" t="str">
        <f t="shared" si="0"/>
        <v/>
      </c>
      <c r="W21" s="193" t="str">
        <f t="shared" si="7"/>
        <v/>
      </c>
      <c r="X21" s="183"/>
      <c r="Y21" s="158"/>
      <c r="Z21" s="158"/>
      <c r="AA21" s="185" t="str">
        <f t="shared" si="1"/>
        <v/>
      </c>
      <c r="AB21" s="190"/>
      <c r="AC21" s="190"/>
      <c r="AD21" s="189" t="str">
        <f t="shared" si="2"/>
        <v/>
      </c>
      <c r="AE21" s="190"/>
      <c r="AF21" s="190"/>
      <c r="AG21" s="190"/>
      <c r="AH21" s="190"/>
      <c r="AI21" s="233" t="str">
        <f t="shared" si="8"/>
        <v/>
      </c>
      <c r="AJ21" s="228" t="str">
        <f t="shared" si="9"/>
        <v/>
      </c>
      <c r="AK21" s="189" t="str">
        <f t="shared" si="3"/>
        <v/>
      </c>
      <c r="AL21" s="228" t="str">
        <f t="shared" si="10"/>
        <v/>
      </c>
      <c r="AM21" s="189" t="str">
        <f t="shared" si="4"/>
        <v/>
      </c>
      <c r="AN21" s="228" t="str">
        <f t="shared" si="11"/>
        <v/>
      </c>
      <c r="AO21" s="190"/>
      <c r="AP21" s="182"/>
      <c r="AQ21" s="182"/>
      <c r="AR21" s="191"/>
      <c r="AS21" s="191"/>
      <c r="AT21" s="182"/>
      <c r="AU21" s="182"/>
      <c r="AV21" s="191"/>
      <c r="AW21" s="238"/>
      <c r="AX21" s="182"/>
      <c r="AY21" s="182"/>
      <c r="AZ21" s="191"/>
      <c r="BA21" s="182"/>
      <c r="BB21" s="182"/>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row>
    <row r="22" spans="4:80" s="225" customFormat="1" ht="172.9" customHeight="1" x14ac:dyDescent="0.25">
      <c r="D22" s="183">
        <v>7</v>
      </c>
      <c r="E22" s="183"/>
      <c r="F22" s="183"/>
      <c r="G22" s="183"/>
      <c r="H22" s="183"/>
      <c r="I22" s="182"/>
      <c r="J22" s="182"/>
      <c r="K22" s="182"/>
      <c r="L22" s="203"/>
      <c r="M22" s="182"/>
      <c r="N22" s="182"/>
      <c r="O22" s="182"/>
      <c r="P22" s="182"/>
      <c r="Q22" s="193" t="str">
        <f t="shared" si="5"/>
        <v/>
      </c>
      <c r="R22" s="189" t="str">
        <f t="shared" si="6"/>
        <v/>
      </c>
      <c r="S22" s="194"/>
      <c r="T22" s="189">
        <f>IF(NOT(ISERROR(MATCH(S22,'[11]Tabla Impacto'!$B$221:$B$223,0))),'[11]Tabla Impacto'!$F$223&amp;"Por favor no seleccionar los criterios de impacto(Afectación Económica o presupuestal y Pérdida Reputacional)",S22)</f>
        <v>0</v>
      </c>
      <c r="U22" s="193" t="str">
        <f>IF(OR(T22='[11]Tabla Impacto'!$C$11,T22='[11]Tabla Impacto'!$D$11),"Leve",IF(OR(T22='[11]Tabla Impacto'!$C$12,T22='[11]Tabla Impacto'!$D$12),"Menor",IF(OR(T22='[11]Tabla Impacto'!$C$13,T22='[11]Tabla Impacto'!$D$13),"Moderado",IF(OR(T22='[11]Tabla Impacto'!$C$14,T22='[11]Tabla Impacto'!$D$14),"Mayor",IF(OR(T22='[11]Tabla Impacto'!$C$15,T22='[11]Tabla Impacto'!$D$15),"Catastrófico","")))))</f>
        <v/>
      </c>
      <c r="V22" s="189" t="str">
        <f t="shared" si="0"/>
        <v/>
      </c>
      <c r="W22" s="193" t="str">
        <f t="shared" si="7"/>
        <v/>
      </c>
      <c r="X22" s="183"/>
      <c r="Y22" s="158"/>
      <c r="Z22" s="158"/>
      <c r="AA22" s="185" t="str">
        <f t="shared" si="1"/>
        <v/>
      </c>
      <c r="AB22" s="190"/>
      <c r="AC22" s="190"/>
      <c r="AD22" s="189" t="str">
        <f t="shared" si="2"/>
        <v/>
      </c>
      <c r="AE22" s="190"/>
      <c r="AF22" s="190"/>
      <c r="AG22" s="190"/>
      <c r="AH22" s="190"/>
      <c r="AI22" s="233" t="str">
        <f t="shared" si="8"/>
        <v/>
      </c>
      <c r="AJ22" s="228" t="str">
        <f t="shared" si="9"/>
        <v/>
      </c>
      <c r="AK22" s="189" t="str">
        <f t="shared" si="3"/>
        <v/>
      </c>
      <c r="AL22" s="228" t="str">
        <f t="shared" si="10"/>
        <v/>
      </c>
      <c r="AM22" s="189" t="str">
        <f t="shared" si="4"/>
        <v/>
      </c>
      <c r="AN22" s="228" t="str">
        <f t="shared" si="11"/>
        <v/>
      </c>
      <c r="AO22" s="190"/>
      <c r="AP22" s="182"/>
      <c r="AQ22" s="182"/>
      <c r="AR22" s="191"/>
      <c r="AS22" s="191"/>
      <c r="AT22" s="182"/>
      <c r="AU22" s="182"/>
      <c r="AV22" s="191"/>
      <c r="AW22" s="238"/>
      <c r="AX22" s="182"/>
      <c r="AY22" s="182"/>
      <c r="AZ22" s="191"/>
      <c r="BA22" s="182"/>
      <c r="BB22" s="182"/>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row>
    <row r="23" spans="4:80" s="225" customFormat="1" ht="172.9" customHeight="1" x14ac:dyDescent="0.25">
      <c r="D23" s="183">
        <v>8</v>
      </c>
      <c r="E23" s="183"/>
      <c r="F23" s="183"/>
      <c r="G23" s="183"/>
      <c r="H23" s="183"/>
      <c r="I23" s="182"/>
      <c r="J23" s="182"/>
      <c r="K23" s="182"/>
      <c r="L23" s="203"/>
      <c r="M23" s="182"/>
      <c r="N23" s="182"/>
      <c r="O23" s="182"/>
      <c r="P23" s="182"/>
      <c r="Q23" s="193" t="str">
        <f t="shared" si="5"/>
        <v/>
      </c>
      <c r="R23" s="189" t="str">
        <f t="shared" si="6"/>
        <v/>
      </c>
      <c r="S23" s="194"/>
      <c r="T23" s="189">
        <f>IF(NOT(ISERROR(MATCH(S23,'[11]Tabla Impacto'!$B$221:$B$223,0))),'[11]Tabla Impacto'!$F$223&amp;"Por favor no seleccionar los criterios de impacto(Afectación Económica o presupuestal y Pérdida Reputacional)",S23)</f>
        <v>0</v>
      </c>
      <c r="U23" s="193" t="str">
        <f>IF(OR(T23='[11]Tabla Impacto'!$C$11,T23='[11]Tabla Impacto'!$D$11),"Leve",IF(OR(T23='[11]Tabla Impacto'!$C$12,T23='[11]Tabla Impacto'!$D$12),"Menor",IF(OR(T23='[11]Tabla Impacto'!$C$13,T23='[11]Tabla Impacto'!$D$13),"Moderado",IF(OR(T23='[11]Tabla Impacto'!$C$14,T23='[11]Tabla Impacto'!$D$14),"Mayor",IF(OR(T23='[11]Tabla Impacto'!$C$15,T23='[11]Tabla Impacto'!$D$15),"Catastrófico","")))))</f>
        <v/>
      </c>
      <c r="V23" s="189" t="str">
        <f t="shared" si="0"/>
        <v/>
      </c>
      <c r="W23" s="193" t="str">
        <f t="shared" si="7"/>
        <v/>
      </c>
      <c r="X23" s="183"/>
      <c r="Y23" s="158"/>
      <c r="Z23" s="158"/>
      <c r="AA23" s="185" t="str">
        <f t="shared" si="1"/>
        <v/>
      </c>
      <c r="AB23" s="190"/>
      <c r="AC23" s="190"/>
      <c r="AD23" s="189" t="str">
        <f t="shared" si="2"/>
        <v/>
      </c>
      <c r="AE23" s="190"/>
      <c r="AF23" s="190"/>
      <c r="AG23" s="190"/>
      <c r="AH23" s="190"/>
      <c r="AI23" s="233" t="str">
        <f t="shared" si="8"/>
        <v/>
      </c>
      <c r="AJ23" s="228" t="str">
        <f t="shared" si="9"/>
        <v/>
      </c>
      <c r="AK23" s="189" t="str">
        <f t="shared" si="3"/>
        <v/>
      </c>
      <c r="AL23" s="228" t="str">
        <f t="shared" si="10"/>
        <v/>
      </c>
      <c r="AM23" s="189" t="str">
        <f t="shared" si="4"/>
        <v/>
      </c>
      <c r="AN23" s="228" t="str">
        <f t="shared" si="11"/>
        <v/>
      </c>
      <c r="AO23" s="190"/>
      <c r="AP23" s="182"/>
      <c r="AQ23" s="182"/>
      <c r="AR23" s="191"/>
      <c r="AS23" s="191"/>
      <c r="AT23" s="182"/>
      <c r="AU23" s="182"/>
      <c r="AV23" s="191"/>
      <c r="AW23" s="238"/>
      <c r="AX23" s="182"/>
      <c r="AY23" s="182"/>
      <c r="AZ23" s="191"/>
      <c r="BA23" s="182"/>
      <c r="BB23" s="182"/>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row>
    <row r="24" spans="4:80" ht="49.5" customHeight="1" x14ac:dyDescent="0.2">
      <c r="D24" s="204"/>
      <c r="E24" s="205"/>
      <c r="F24" s="205"/>
      <c r="G24" s="205"/>
      <c r="H24" s="205"/>
      <c r="I24" s="560" t="s">
        <v>390</v>
      </c>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1"/>
    </row>
    <row r="26" spans="4:80" ht="15.75" x14ac:dyDescent="0.2">
      <c r="D26" s="109"/>
      <c r="E26" s="110"/>
      <c r="F26" s="110"/>
      <c r="G26" s="110"/>
      <c r="H26" s="110"/>
      <c r="I26" s="110"/>
      <c r="J26" s="110"/>
      <c r="K26" s="110"/>
      <c r="L26" s="110"/>
      <c r="M26" s="165"/>
      <c r="N26" s="165"/>
      <c r="O26" s="165"/>
      <c r="Q26" s="111"/>
      <c r="R26" s="110"/>
      <c r="S26" s="110"/>
      <c r="T26" s="110"/>
      <c r="U26" s="110"/>
      <c r="V26" s="110"/>
      <c r="W26" s="110"/>
      <c r="X26" s="110"/>
      <c r="Y26" s="110"/>
      <c r="Z26" s="110"/>
      <c r="AA26" s="112"/>
      <c r="AB26" s="112"/>
      <c r="AC26" s="110"/>
      <c r="AD26" s="110"/>
      <c r="AE26" s="110"/>
      <c r="AF26" s="110"/>
      <c r="AG26" s="110"/>
      <c r="AH26" s="110"/>
      <c r="AI26" s="110"/>
      <c r="AJ26" s="110"/>
      <c r="AK26" s="110"/>
      <c r="AL26" s="110"/>
      <c r="AM26" s="110"/>
      <c r="AN26" s="110"/>
      <c r="AO26" s="113"/>
      <c r="AP26" s="113"/>
      <c r="AQ26" s="110"/>
      <c r="AR26" s="110"/>
      <c r="AS26" s="110"/>
      <c r="AT26" s="110"/>
      <c r="AU26" s="110"/>
      <c r="AV26" s="110"/>
      <c r="AW26" s="113"/>
    </row>
    <row r="27" spans="4:80" ht="18" x14ac:dyDescent="0.2">
      <c r="D27" s="498" t="s">
        <v>719</v>
      </c>
      <c r="E27" s="498"/>
      <c r="F27" s="498"/>
      <c r="G27" s="498"/>
      <c r="H27" s="498"/>
      <c r="I27" s="498"/>
      <c r="J27" s="498"/>
      <c r="K27" s="498"/>
      <c r="L27" s="498"/>
      <c r="M27" s="165"/>
      <c r="N27" s="165"/>
      <c r="O27" s="165"/>
      <c r="P27" s="499" t="s">
        <v>388</v>
      </c>
      <c r="Q27" s="500"/>
      <c r="R27" s="500"/>
      <c r="S27" s="501"/>
      <c r="T27" s="110"/>
      <c r="U27" s="110"/>
      <c r="V27" s="110"/>
      <c r="W27" s="110"/>
      <c r="X27" s="110"/>
      <c r="Y27" s="110"/>
      <c r="Z27" s="113"/>
      <c r="AA27" s="112"/>
      <c r="AB27" s="112"/>
      <c r="AC27" s="110"/>
      <c r="AD27" s="112"/>
      <c r="AE27" s="112"/>
      <c r="AF27" s="110"/>
      <c r="AG27" s="110"/>
      <c r="AH27" s="110"/>
      <c r="AI27" s="110"/>
      <c r="AJ27" s="110"/>
      <c r="AK27" s="110"/>
      <c r="AL27" s="110"/>
      <c r="AM27" s="110"/>
      <c r="AN27" s="110"/>
      <c r="AO27" s="110"/>
      <c r="AP27" s="110"/>
      <c r="AQ27" s="110"/>
      <c r="AR27" s="110"/>
      <c r="AS27" s="110"/>
      <c r="AT27" s="110"/>
      <c r="AU27" s="110"/>
      <c r="AV27" s="110"/>
      <c r="AW27" s="113"/>
    </row>
    <row r="28" spans="4:80" ht="15" thickBot="1" x14ac:dyDescent="0.25">
      <c r="D28" s="165"/>
      <c r="E28" s="165"/>
      <c r="F28" s="165"/>
      <c r="G28" s="165"/>
      <c r="H28" s="165"/>
      <c r="I28" s="165"/>
      <c r="J28" s="165"/>
      <c r="K28" s="165"/>
      <c r="M28" s="165"/>
      <c r="N28" s="165"/>
      <c r="O28" s="165"/>
      <c r="Q28" s="167" t="str">
        <f>+IFERROR(VLOOKUP(M28,$M$183:$Q$187,3,FALSE)*VLOOKUP(P28,$P$183:$Q$187,3,FALSE),"")</f>
        <v/>
      </c>
      <c r="AA28" s="167"/>
      <c r="AB28" s="206"/>
      <c r="AD28" s="206"/>
      <c r="AE28" s="206"/>
      <c r="AF28" s="207"/>
      <c r="AG28" s="207"/>
      <c r="AH28" s="207"/>
      <c r="AI28" s="207"/>
      <c r="AJ28" s="207"/>
      <c r="AK28" s="114"/>
      <c r="AL28" s="114"/>
      <c r="AM28" s="207"/>
      <c r="AN28" s="208"/>
      <c r="AR28" s="207"/>
      <c r="AT28" s="207"/>
      <c r="AV28" s="207"/>
    </row>
    <row r="29" spans="4:80" ht="17.45" customHeight="1" thickTop="1" thickBot="1" x14ac:dyDescent="0.25">
      <c r="D29" s="483" t="s">
        <v>205</v>
      </c>
      <c r="E29" s="483"/>
      <c r="F29" s="483"/>
      <c r="G29" s="483"/>
      <c r="H29" s="483"/>
      <c r="I29" s="483"/>
      <c r="J29" s="483"/>
      <c r="K29" s="483"/>
      <c r="L29" s="164" t="s">
        <v>206</v>
      </c>
      <c r="M29" s="483" t="s">
        <v>207</v>
      </c>
      <c r="N29" s="483"/>
      <c r="O29" s="483"/>
      <c r="P29" s="483"/>
      <c r="Q29" s="483"/>
      <c r="R29" s="483"/>
      <c r="S29" s="483"/>
      <c r="T29" s="118"/>
      <c r="U29" s="484" t="s">
        <v>208</v>
      </c>
      <c r="V29" s="484"/>
      <c r="W29" s="484"/>
      <c r="X29" s="483" t="s">
        <v>209</v>
      </c>
      <c r="Y29" s="483"/>
      <c r="Z29" s="483"/>
      <c r="AA29" s="483"/>
      <c r="AB29" s="484">
        <v>1</v>
      </c>
      <c r="AC29" s="484"/>
      <c r="AD29" s="484"/>
      <c r="AE29" s="484"/>
      <c r="AF29" s="117"/>
      <c r="AG29" s="117"/>
      <c r="AH29" s="117"/>
      <c r="AI29" s="117"/>
      <c r="AJ29" s="117"/>
      <c r="AK29" s="117"/>
      <c r="AL29" s="117"/>
      <c r="AM29" s="117"/>
      <c r="AN29" s="117"/>
      <c r="AO29" s="117"/>
      <c r="AP29" s="117"/>
      <c r="AQ29" s="117"/>
      <c r="AR29" s="117"/>
      <c r="AS29" s="117"/>
      <c r="AT29" s="117"/>
      <c r="AU29" s="117"/>
      <c r="AV29" s="117"/>
      <c r="AW29" s="945"/>
    </row>
    <row r="30" spans="4:80" ht="36.75" customHeight="1" thickTop="1" x14ac:dyDescent="0.25">
      <c r="D30" s="485" t="s">
        <v>385</v>
      </c>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row>
  </sheetData>
  <dataConsolidate/>
  <mergeCells count="85">
    <mergeCell ref="AJ16:AJ19"/>
    <mergeCell ref="AL16:AL19"/>
    <mergeCell ref="AN16:AN19"/>
    <mergeCell ref="I24:AU24"/>
    <mergeCell ref="D27:L27"/>
    <mergeCell ref="P27:S27"/>
    <mergeCell ref="M16:M19"/>
    <mergeCell ref="Q16:Q19"/>
    <mergeCell ref="R16:R19"/>
    <mergeCell ref="U16:U19"/>
    <mergeCell ref="W16:W19"/>
    <mergeCell ref="D16:D19"/>
    <mergeCell ref="E16:E19"/>
    <mergeCell ref="F16:F19"/>
    <mergeCell ref="G16:G19"/>
    <mergeCell ref="L16:L19"/>
    <mergeCell ref="T13:T14"/>
    <mergeCell ref="U13:U14"/>
    <mergeCell ref="V13:V14"/>
    <mergeCell ref="D7:G7"/>
    <mergeCell ref="H7:BB7"/>
    <mergeCell ref="D8:G8"/>
    <mergeCell ref="H8:BB8"/>
    <mergeCell ref="D9:G9"/>
    <mergeCell ref="H9:BB9"/>
    <mergeCell ref="BB13:BB14"/>
    <mergeCell ref="AS13:AS14"/>
    <mergeCell ref="AT13:AT14"/>
    <mergeCell ref="AU13:AU14"/>
    <mergeCell ref="AV13:AV14"/>
    <mergeCell ref="AW13:AW14"/>
    <mergeCell ref="AX13:AX14"/>
    <mergeCell ref="D2:H5"/>
    <mergeCell ref="I2:AZ5"/>
    <mergeCell ref="BA2:BB2"/>
    <mergeCell ref="BA3:BB3"/>
    <mergeCell ref="BA4:BB4"/>
    <mergeCell ref="BA5:BB5"/>
    <mergeCell ref="A11:C11"/>
    <mergeCell ref="D11:AU11"/>
    <mergeCell ref="AV11:AY11"/>
    <mergeCell ref="AZ11:BB11"/>
    <mergeCell ref="D12:P12"/>
    <mergeCell ref="Q12:W12"/>
    <mergeCell ref="X12:AG12"/>
    <mergeCell ref="AH12:AH14"/>
    <mergeCell ref="AI12:AO12"/>
    <mergeCell ref="AP12:BB12"/>
    <mergeCell ref="D13:D14"/>
    <mergeCell ref="E13:E14"/>
    <mergeCell ref="H13:H14"/>
    <mergeCell ref="I13:I14"/>
    <mergeCell ref="K13:K14"/>
    <mergeCell ref="Y13:Y14"/>
    <mergeCell ref="AR13:AR14"/>
    <mergeCell ref="AL13:AL14"/>
    <mergeCell ref="AM13:AM14"/>
    <mergeCell ref="AN13:AN14"/>
    <mergeCell ref="M13:M14"/>
    <mergeCell ref="L13:L14"/>
    <mergeCell ref="N13:O13"/>
    <mergeCell ref="P13:P14"/>
    <mergeCell ref="Q13:Q14"/>
    <mergeCell ref="R13:R14"/>
    <mergeCell ref="S13:S14"/>
    <mergeCell ref="D29:K29"/>
    <mergeCell ref="M29:S29"/>
    <mergeCell ref="U29:W29"/>
    <mergeCell ref="X29:AA29"/>
    <mergeCell ref="AB29:AE29"/>
    <mergeCell ref="D30:AE30"/>
    <mergeCell ref="AZ13:AZ14"/>
    <mergeCell ref="BA13:BA14"/>
    <mergeCell ref="AP13:AP14"/>
    <mergeCell ref="AQ13:AQ14"/>
    <mergeCell ref="AY13:AY14"/>
    <mergeCell ref="W13:W14"/>
    <mergeCell ref="X13:X14"/>
    <mergeCell ref="AO13:AO14"/>
    <mergeCell ref="Z13:Z14"/>
    <mergeCell ref="AA13:AA14"/>
    <mergeCell ref="AB13:AG13"/>
    <mergeCell ref="AI13:AI14"/>
    <mergeCell ref="AJ13:AJ14"/>
    <mergeCell ref="AK13:AK14"/>
  </mergeCells>
  <conditionalFormatting sqref="Q16 Q20:Q23">
    <cfRule type="cellIs" dxfId="30" priority="31" operator="equal">
      <formula>"Muy Alta"</formula>
    </cfRule>
    <cfRule type="cellIs" dxfId="31" priority="32" operator="equal">
      <formula>"Alta"</formula>
    </cfRule>
    <cfRule type="cellIs" dxfId="32" priority="33" operator="equal">
      <formula>"Media"</formula>
    </cfRule>
    <cfRule type="cellIs" dxfId="33" priority="34" operator="equal">
      <formula>"Baja"</formula>
    </cfRule>
    <cfRule type="cellIs" dxfId="34" priority="35" operator="equal">
      <formula>"Muy Baja"</formula>
    </cfRule>
  </conditionalFormatting>
  <conditionalFormatting sqref="T16:T23">
    <cfRule type="containsText" dxfId="29" priority="7" operator="containsText" text="❌">
      <formula>NOT(ISERROR(SEARCH("❌",T16)))</formula>
    </cfRule>
  </conditionalFormatting>
  <conditionalFormatting sqref="U16 U20:U23">
    <cfRule type="cellIs" dxfId="24" priority="26" operator="equal">
      <formula>"Catastrófico"</formula>
    </cfRule>
    <cfRule type="cellIs" dxfId="25" priority="27" operator="equal">
      <formula>"Mayor"</formula>
    </cfRule>
    <cfRule type="cellIs" dxfId="26" priority="28" operator="equal">
      <formula>"Moderado"</formula>
    </cfRule>
    <cfRule type="cellIs" dxfId="27" priority="29" operator="equal">
      <formula>"Menor"</formula>
    </cfRule>
    <cfRule type="cellIs" dxfId="28" priority="30" operator="equal">
      <formula>"Leve"</formula>
    </cfRule>
  </conditionalFormatting>
  <conditionalFormatting sqref="W16 W20:W23">
    <cfRule type="cellIs" dxfId="23" priority="22" operator="equal">
      <formula>"Extremo"</formula>
    </cfRule>
    <cfRule type="cellIs" dxfId="20" priority="23" operator="equal">
      <formula>"Alto"</formula>
    </cfRule>
    <cfRule type="cellIs" dxfId="21" priority="24" operator="equal">
      <formula>"Moderado"</formula>
    </cfRule>
    <cfRule type="cellIs" dxfId="22" priority="25" operator="equal">
      <formula>"Bajo"</formula>
    </cfRule>
  </conditionalFormatting>
  <conditionalFormatting sqref="AJ16 AJ20:AJ23">
    <cfRule type="cellIs" dxfId="18" priority="17" operator="equal">
      <formula>"Muy Alta"</formula>
    </cfRule>
    <cfRule type="cellIs" dxfId="17" priority="18" operator="equal">
      <formula>"Alta"</formula>
    </cfRule>
    <cfRule type="cellIs" dxfId="16" priority="19" operator="equal">
      <formula>"Media"</formula>
    </cfRule>
    <cfRule type="cellIs" dxfId="15" priority="20" operator="equal">
      <formula>"Baja"</formula>
    </cfRule>
    <cfRule type="cellIs" dxfId="19" priority="21" operator="equal">
      <formula>"Muy Baja"</formula>
    </cfRule>
  </conditionalFormatting>
  <conditionalFormatting sqref="AK26:AK28">
    <cfRule type="cellIs" dxfId="12" priority="1" stopIfTrue="1" operator="equal">
      <formula>#REF!</formula>
    </cfRule>
    <cfRule type="cellIs" dxfId="14" priority="2" operator="equal">
      <formula>#REF!</formula>
    </cfRule>
    <cfRule type="cellIs" dxfId="13" priority="3" operator="equal">
      <formula>#REF!</formula>
    </cfRule>
  </conditionalFormatting>
  <conditionalFormatting sqref="AL16 AL20:AL23">
    <cfRule type="cellIs" dxfId="7" priority="12" operator="equal">
      <formula>"Catastrófico"</formula>
    </cfRule>
    <cfRule type="cellIs" dxfId="8" priority="13" operator="equal">
      <formula>"Mayor"</formula>
    </cfRule>
    <cfRule type="cellIs" dxfId="9" priority="14" operator="equal">
      <formula>"Moderado"</formula>
    </cfRule>
    <cfRule type="cellIs" dxfId="10" priority="15" operator="equal">
      <formula>"Menor"</formula>
    </cfRule>
    <cfRule type="cellIs" dxfId="11" priority="16" operator="equal">
      <formula>"Leve"</formula>
    </cfRule>
  </conditionalFormatting>
  <conditionalFormatting sqref="AL26:AL28">
    <cfRule type="cellIs" dxfId="4" priority="4" stopIfTrue="1" operator="equal">
      <formula>#REF!</formula>
    </cfRule>
    <cfRule type="cellIs" dxfId="5" priority="5" stopIfTrue="1" operator="equal">
      <formula>#REF!</formula>
    </cfRule>
    <cfRule type="cellIs" dxfId="6" priority="6" stopIfTrue="1" operator="equal">
      <formula>#REF!</formula>
    </cfRule>
  </conditionalFormatting>
  <conditionalFormatting sqref="AN16 AN20:AN23">
    <cfRule type="cellIs" dxfId="0" priority="8" operator="equal">
      <formula>"Extremo"</formula>
    </cfRule>
    <cfRule type="cellIs" dxfId="1" priority="9" operator="equal">
      <formula>"Alto"</formula>
    </cfRule>
    <cfRule type="cellIs" dxfId="2" priority="10" operator="equal">
      <formula>"Moderado"</formula>
    </cfRule>
    <cfRule type="cellIs" dxfId="3" priority="11" operator="equal">
      <formula>"Bajo"</formula>
    </cfRule>
  </conditionalFormatting>
  <dataValidations count="6">
    <dataValidation type="list" allowBlank="1" showInputMessage="1" showErrorMessage="1" sqref="AV28 AT28 AR28 AB28 AD28:AJ28" xr:uid="{50144800-2C20-4FA9-AB9F-52FAF5B17F03}">
      <formula1>$AR$183:$AR$190</formula1>
    </dataValidation>
    <dataValidation type="list" allowBlank="1" showInputMessage="1" showErrorMessage="1" sqref="M28:O28" xr:uid="{AEC668B5-4625-4778-BA9A-26A0A340AAD6}">
      <formula1>$M$183:$M$187</formula1>
    </dataValidation>
    <dataValidation type="list" allowBlank="1" showInputMessage="1" showErrorMessage="1" sqref="P28" xr:uid="{9FA73908-E30C-4F9D-920F-AB4B4CE5D2D1}">
      <formula1>$P$183:$P$187</formula1>
    </dataValidation>
    <dataValidation type="list" allowBlank="1" showInputMessage="1" showErrorMessage="1" sqref="AA28" xr:uid="{A50A6BD5-6AB2-4EEB-9187-A7C545AF9A8D}">
      <formula1>$S$183:$S$184</formula1>
    </dataValidation>
    <dataValidation type="list" allowBlank="1" showInputMessage="1" showErrorMessage="1" sqref="L28 AK28:AL28" xr:uid="{00EEDD8E-53A7-4CD5-A23B-322FC868DBC4}">
      <formula1>#REF!</formula1>
    </dataValidation>
    <dataValidation type="list" allowBlank="1" showInputMessage="1" showErrorMessage="1" sqref="L26" xr:uid="{9D02315A-9BFC-4A5B-8639-8350F6B07C9C}">
      <formula1>$L$183:$L$192</formula1>
    </dataValidation>
  </dataValidations>
  <hyperlinks>
    <hyperlink ref="AY16" r:id="rId1" xr:uid="{DF2F53BB-E5BE-4AE8-B395-56D73B7D7CF0}"/>
    <hyperlink ref="AY17" r:id="rId2" xr:uid="{4D3A9C6F-99D9-4BB8-AC7D-E6C766604B93}"/>
  </hyperlinks>
  <pageMargins left="0.7" right="0.7" top="0.75" bottom="0.75" header="0.3" footer="0.3"/>
  <pageSetup scale="10" orientation="portrait" r:id="rId3"/>
  <colBreaks count="1" manualBreakCount="1">
    <brk id="55" max="1048575" man="1"/>
  </colBreaks>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3DC1-F7CE-4BF4-B119-417D62E114EB}">
  <sheetPr>
    <tabColor rgb="FF287840"/>
  </sheetPr>
  <dimension ref="A1:CC45"/>
  <sheetViews>
    <sheetView showGridLines="0" zoomScale="50" zoomScaleNormal="50" workbookViewId="0">
      <selection activeCell="I21" sqref="A9:BC21"/>
    </sheetView>
  </sheetViews>
  <sheetFormatPr baseColWidth="10" defaultColWidth="11.42578125" defaultRowHeight="14.25" x14ac:dyDescent="0.2"/>
  <cols>
    <col min="1" max="1" width="11.42578125" style="165"/>
    <col min="2" max="2" width="3" style="165" customWidth="1"/>
    <col min="3" max="3" width="2.5703125" style="165" customWidth="1"/>
    <col min="4" max="4" width="5.42578125" style="166" customWidth="1"/>
    <col min="5" max="5" width="14.7109375" style="166" customWidth="1"/>
    <col min="6" max="6" width="18.42578125" style="166" customWidth="1"/>
    <col min="7" max="7" width="12" style="166" customWidth="1"/>
    <col min="8" max="8" width="15.85546875" style="166" customWidth="1"/>
    <col min="9" max="9" width="120.85546875" style="166" customWidth="1"/>
    <col min="10" max="10" width="25.7109375" style="166" hidden="1" customWidth="1"/>
    <col min="11" max="11" width="23.42578125" style="166" customWidth="1"/>
    <col min="12" max="12" width="46.85546875" style="165" customWidth="1"/>
    <col min="13" max="15" width="19.7109375" style="167" customWidth="1"/>
    <col min="16" max="16" width="17.7109375" style="165" customWidth="1"/>
    <col min="17" max="17" width="16.42578125" style="165" customWidth="1"/>
    <col min="18" max="18" width="6.28515625" style="165" bestFit="1" customWidth="1"/>
    <col min="19" max="19" width="24.85546875" style="165" customWidth="1"/>
    <col min="20" max="20" width="17" style="165" customWidth="1"/>
    <col min="21" max="21" width="17.42578125" style="165" customWidth="1"/>
    <col min="22" max="22" width="6.28515625" style="165" bestFit="1" customWidth="1"/>
    <col min="23" max="23" width="16" style="165" customWidth="1"/>
    <col min="24" max="24" width="5.7109375" style="165" customWidth="1"/>
    <col min="25" max="25" width="101.7109375" style="165" customWidth="1"/>
    <col min="26" max="26" width="92.140625" style="165" customWidth="1"/>
    <col min="27" max="27" width="15.140625" style="165" bestFit="1" customWidth="1"/>
    <col min="28" max="28" width="6.7109375" style="165" customWidth="1"/>
    <col min="29" max="29" width="5" style="165" customWidth="1"/>
    <col min="30" max="30" width="5.42578125" style="165" customWidth="1"/>
    <col min="31" max="31" width="7.140625" style="165" customWidth="1"/>
    <col min="32" max="32" width="6.7109375" style="165" customWidth="1"/>
    <col min="33" max="33" width="8.28515625" style="165" customWidth="1"/>
    <col min="34" max="34" width="12.5703125" style="165" customWidth="1"/>
    <col min="35" max="35" width="13.7109375" style="165" customWidth="1"/>
    <col min="36" max="36" width="8.7109375" style="165" customWidth="1"/>
    <col min="37" max="37" width="10.42578125" style="165" customWidth="1"/>
    <col min="38" max="38" width="9.28515625" style="165" customWidth="1"/>
    <col min="39" max="39" width="9.140625" style="165" customWidth="1"/>
    <col min="40" max="40" width="8.42578125" style="165" customWidth="1"/>
    <col min="41" max="41" width="7.28515625" style="165" customWidth="1"/>
    <col min="42" max="42" width="44.28515625" style="165" customWidth="1"/>
    <col min="43" max="43" width="67.7109375" style="165" customWidth="1"/>
    <col min="44" max="44" width="18.7109375" style="165" customWidth="1"/>
    <col min="45" max="45" width="16.7109375" style="165" customWidth="1"/>
    <col min="46" max="46" width="14.7109375" style="165" customWidth="1"/>
    <col min="47" max="47" width="29.140625" style="165" customWidth="1"/>
    <col min="48" max="48" width="21" style="165" customWidth="1"/>
    <col min="49" max="49" width="23.140625" style="165" customWidth="1"/>
    <col min="50" max="50" width="43.28515625" style="165" customWidth="1"/>
    <col min="51" max="52" width="20.7109375" style="165" customWidth="1"/>
    <col min="53" max="53" width="15.42578125" style="165" customWidth="1"/>
    <col min="54" max="54" width="19.5703125" style="165" customWidth="1"/>
    <col min="55" max="55" width="17.28515625" style="165" customWidth="1"/>
    <col min="56" max="16384" width="11.42578125" style="165"/>
  </cols>
  <sheetData>
    <row r="1" spans="1:81" ht="15" thickBot="1" x14ac:dyDescent="0.25"/>
    <row r="2" spans="1:81" ht="27.75" customHeight="1" x14ac:dyDescent="0.2">
      <c r="D2" s="545" t="s">
        <v>299</v>
      </c>
      <c r="E2" s="546"/>
      <c r="F2" s="546"/>
      <c r="G2" s="546"/>
      <c r="H2" s="546"/>
      <c r="I2" s="216"/>
      <c r="J2" s="249"/>
      <c r="K2" s="249"/>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2"/>
      <c r="BB2" s="557" t="s">
        <v>323</v>
      </c>
      <c r="BC2" s="558"/>
    </row>
    <row r="3" spans="1:81" ht="27.75" customHeight="1" x14ac:dyDescent="0.2">
      <c r="D3" s="547"/>
      <c r="E3" s="548"/>
      <c r="F3" s="548"/>
      <c r="G3" s="548"/>
      <c r="H3" s="548"/>
      <c r="I3" s="214"/>
      <c r="J3" s="221"/>
      <c r="K3" s="221"/>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4"/>
      <c r="BB3" s="558" t="s">
        <v>240</v>
      </c>
      <c r="BC3" s="559"/>
    </row>
    <row r="4" spans="1:81" ht="27.75" customHeight="1" x14ac:dyDescent="0.2">
      <c r="D4" s="547"/>
      <c r="E4" s="548"/>
      <c r="F4" s="548"/>
      <c r="G4" s="548"/>
      <c r="H4" s="548"/>
      <c r="I4" s="214"/>
      <c r="J4" s="221"/>
      <c r="K4" s="221"/>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4"/>
      <c r="BB4" s="558" t="s">
        <v>333</v>
      </c>
      <c r="BC4" s="559"/>
    </row>
    <row r="5" spans="1:81" ht="27.75" customHeight="1" thickBot="1" x14ac:dyDescent="0.25">
      <c r="D5" s="549"/>
      <c r="E5" s="550"/>
      <c r="F5" s="550"/>
      <c r="G5" s="550"/>
      <c r="H5" s="550"/>
      <c r="I5" s="215"/>
      <c r="J5" s="248"/>
      <c r="K5" s="248"/>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6"/>
      <c r="BB5" s="558" t="s">
        <v>204</v>
      </c>
      <c r="BC5" s="559"/>
    </row>
    <row r="6" spans="1:81" ht="13.9" customHeight="1" x14ac:dyDescent="0.25">
      <c r="D6" s="120"/>
      <c r="E6" s="120"/>
      <c r="F6" s="120"/>
      <c r="G6" s="120"/>
      <c r="H6" s="120"/>
      <c r="I6" s="120"/>
      <c r="J6" s="120"/>
      <c r="K6" s="120"/>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22"/>
      <c r="BC6" s="121"/>
    </row>
    <row r="7" spans="1:81" ht="26.25" customHeight="1" x14ac:dyDescent="0.2">
      <c r="D7" s="538" t="s">
        <v>41</v>
      </c>
      <c r="E7" s="539"/>
      <c r="F7" s="539"/>
      <c r="G7" s="540"/>
      <c r="H7" s="541" t="s">
        <v>459</v>
      </c>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3"/>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row>
    <row r="8" spans="1:81" ht="54" customHeight="1" x14ac:dyDescent="0.2">
      <c r="D8" s="538" t="s">
        <v>128</v>
      </c>
      <c r="E8" s="539"/>
      <c r="F8" s="539"/>
      <c r="G8" s="540"/>
      <c r="H8" s="544" t="s">
        <v>458</v>
      </c>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3"/>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row>
    <row r="9" spans="1:81" ht="24" customHeight="1" x14ac:dyDescent="0.2">
      <c r="D9" s="538" t="s">
        <v>42</v>
      </c>
      <c r="E9" s="539"/>
      <c r="F9" s="539"/>
      <c r="G9" s="540"/>
      <c r="H9" s="541" t="s">
        <v>457</v>
      </c>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3"/>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row>
    <row r="10" spans="1:81" s="170" customFormat="1" ht="24" customHeight="1" x14ac:dyDescent="0.2">
      <c r="D10" s="173"/>
      <c r="E10" s="172"/>
      <c r="F10" s="173"/>
      <c r="G10" s="173"/>
      <c r="H10" s="171"/>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5"/>
      <c r="AX10" s="175"/>
      <c r="AY10" s="175"/>
      <c r="AZ10" s="175"/>
      <c r="BA10" s="175"/>
      <c r="BB10" s="175"/>
      <c r="BC10" s="175"/>
    </row>
    <row r="11" spans="1:81" s="170" customFormat="1" ht="24" customHeight="1" x14ac:dyDescent="0.25">
      <c r="A11" s="521" t="s">
        <v>264</v>
      </c>
      <c r="B11" s="521"/>
      <c r="C11" s="522"/>
      <c r="D11" s="523" t="s">
        <v>302</v>
      </c>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5" t="s">
        <v>300</v>
      </c>
      <c r="AX11" s="526"/>
      <c r="AY11" s="526"/>
      <c r="AZ11" s="527"/>
      <c r="BA11" s="528" t="s">
        <v>301</v>
      </c>
      <c r="BB11" s="529"/>
      <c r="BC11" s="530"/>
    </row>
    <row r="12" spans="1:81" ht="24.75" customHeight="1" x14ac:dyDescent="0.2">
      <c r="D12" s="511" t="s">
        <v>136</v>
      </c>
      <c r="E12" s="511"/>
      <c r="F12" s="511"/>
      <c r="G12" s="511"/>
      <c r="H12" s="511"/>
      <c r="I12" s="531"/>
      <c r="J12" s="531"/>
      <c r="K12" s="531"/>
      <c r="L12" s="531"/>
      <c r="M12" s="531"/>
      <c r="N12" s="531"/>
      <c r="O12" s="531"/>
      <c r="P12" s="531"/>
      <c r="Q12" s="531" t="s">
        <v>137</v>
      </c>
      <c r="R12" s="531"/>
      <c r="S12" s="531"/>
      <c r="T12" s="531"/>
      <c r="U12" s="531"/>
      <c r="V12" s="531"/>
      <c r="W12" s="531"/>
      <c r="X12" s="531" t="s">
        <v>138</v>
      </c>
      <c r="Y12" s="531"/>
      <c r="Z12" s="531"/>
      <c r="AA12" s="531"/>
      <c r="AB12" s="531"/>
      <c r="AC12" s="531"/>
      <c r="AD12" s="531"/>
      <c r="AE12" s="531"/>
      <c r="AF12" s="531"/>
      <c r="AG12" s="531"/>
      <c r="AH12" s="532" t="s">
        <v>17</v>
      </c>
      <c r="AI12" s="531" t="s">
        <v>139</v>
      </c>
      <c r="AJ12" s="531"/>
      <c r="AK12" s="531"/>
      <c r="AL12" s="531"/>
      <c r="AM12" s="531"/>
      <c r="AN12" s="531"/>
      <c r="AO12" s="531"/>
      <c r="AP12" s="222"/>
      <c r="AQ12" s="535" t="s">
        <v>33</v>
      </c>
      <c r="AR12" s="536"/>
      <c r="AS12" s="536"/>
      <c r="AT12" s="536"/>
      <c r="AU12" s="536"/>
      <c r="AV12" s="536"/>
      <c r="AW12" s="536"/>
      <c r="AX12" s="536"/>
      <c r="AY12" s="536"/>
      <c r="AZ12" s="536"/>
      <c r="BA12" s="536"/>
      <c r="BB12" s="536"/>
      <c r="BC12" s="536"/>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row>
    <row r="13" spans="1:81" ht="33" customHeight="1" x14ac:dyDescent="0.2">
      <c r="D13" s="652" t="s">
        <v>0</v>
      </c>
      <c r="E13" s="510" t="s">
        <v>309</v>
      </c>
      <c r="F13" s="176"/>
      <c r="G13" s="176"/>
      <c r="H13" s="511" t="s">
        <v>222</v>
      </c>
      <c r="I13" s="515" t="s">
        <v>369</v>
      </c>
      <c r="J13" s="654"/>
      <c r="K13" s="516"/>
      <c r="L13" s="511" t="s">
        <v>1</v>
      </c>
      <c r="M13" s="513" t="s">
        <v>48</v>
      </c>
      <c r="N13" s="515" t="s">
        <v>369</v>
      </c>
      <c r="O13" s="516"/>
      <c r="P13" s="510" t="s">
        <v>132</v>
      </c>
      <c r="Q13" s="510" t="s">
        <v>32</v>
      </c>
      <c r="R13" s="511" t="s">
        <v>5</v>
      </c>
      <c r="S13" s="510" t="s">
        <v>85</v>
      </c>
      <c r="T13" s="510" t="s">
        <v>90</v>
      </c>
      <c r="U13" s="510" t="s">
        <v>43</v>
      </c>
      <c r="V13" s="511" t="s">
        <v>5</v>
      </c>
      <c r="W13" s="510" t="s">
        <v>46</v>
      </c>
      <c r="X13" s="512" t="s">
        <v>10</v>
      </c>
      <c r="Y13" s="510" t="s">
        <v>158</v>
      </c>
      <c r="Z13" s="510" t="s">
        <v>456</v>
      </c>
      <c r="AA13" s="510" t="s">
        <v>11</v>
      </c>
      <c r="AB13" s="510" t="s">
        <v>455</v>
      </c>
      <c r="AC13" s="510"/>
      <c r="AD13" s="510"/>
      <c r="AE13" s="510"/>
      <c r="AF13" s="510"/>
      <c r="AG13" s="510"/>
      <c r="AH13" s="533"/>
      <c r="AI13" s="512" t="s">
        <v>135</v>
      </c>
      <c r="AJ13" s="512" t="s">
        <v>44</v>
      </c>
      <c r="AK13" s="512" t="s">
        <v>5</v>
      </c>
      <c r="AL13" s="512" t="s">
        <v>45</v>
      </c>
      <c r="AM13" s="512" t="s">
        <v>5</v>
      </c>
      <c r="AN13" s="512" t="s">
        <v>47</v>
      </c>
      <c r="AO13" s="512" t="s">
        <v>28</v>
      </c>
      <c r="AP13" s="247" t="s">
        <v>677</v>
      </c>
      <c r="AQ13" s="513" t="s">
        <v>33</v>
      </c>
      <c r="AR13" s="510" t="s">
        <v>34</v>
      </c>
      <c r="AS13" s="510" t="s">
        <v>35</v>
      </c>
      <c r="AT13" s="510" t="s">
        <v>36</v>
      </c>
      <c r="AU13" s="510" t="s">
        <v>210</v>
      </c>
      <c r="AV13" s="510" t="s">
        <v>37</v>
      </c>
      <c r="AW13" s="518" t="s">
        <v>36</v>
      </c>
      <c r="AX13" s="505" t="s">
        <v>211</v>
      </c>
      <c r="AY13" s="505" t="s">
        <v>37</v>
      </c>
      <c r="AZ13" s="507" t="s">
        <v>241</v>
      </c>
      <c r="BA13" s="509" t="s">
        <v>36</v>
      </c>
      <c r="BB13" s="509" t="s">
        <v>212</v>
      </c>
      <c r="BC13" s="509" t="s">
        <v>37</v>
      </c>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row>
    <row r="14" spans="1:81" s="181" customFormat="1" ht="78" customHeight="1" thickBot="1" x14ac:dyDescent="0.3">
      <c r="A14" s="178"/>
      <c r="B14" s="178"/>
      <c r="C14" s="178"/>
      <c r="D14" s="653"/>
      <c r="E14" s="513"/>
      <c r="F14" s="298" t="s">
        <v>2</v>
      </c>
      <c r="G14" s="296" t="s">
        <v>314</v>
      </c>
      <c r="H14" s="588"/>
      <c r="I14" s="296" t="s">
        <v>681</v>
      </c>
      <c r="J14" s="358" t="s">
        <v>305</v>
      </c>
      <c r="K14" s="296" t="s">
        <v>682</v>
      </c>
      <c r="L14" s="588"/>
      <c r="M14" s="651"/>
      <c r="N14" s="324" t="s">
        <v>238</v>
      </c>
      <c r="O14" s="324" t="s">
        <v>239</v>
      </c>
      <c r="P14" s="513"/>
      <c r="Q14" s="513"/>
      <c r="R14" s="588"/>
      <c r="S14" s="513"/>
      <c r="T14" s="513"/>
      <c r="U14" s="588"/>
      <c r="V14" s="588"/>
      <c r="W14" s="513"/>
      <c r="X14" s="650"/>
      <c r="Y14" s="513"/>
      <c r="Z14" s="513"/>
      <c r="AA14" s="513"/>
      <c r="AB14" s="297" t="s">
        <v>12</v>
      </c>
      <c r="AC14" s="297" t="s">
        <v>16</v>
      </c>
      <c r="AD14" s="297" t="s">
        <v>27</v>
      </c>
      <c r="AE14" s="297" t="s">
        <v>17</v>
      </c>
      <c r="AF14" s="297" t="s">
        <v>20</v>
      </c>
      <c r="AG14" s="297" t="s">
        <v>23</v>
      </c>
      <c r="AH14" s="533"/>
      <c r="AI14" s="650"/>
      <c r="AJ14" s="650"/>
      <c r="AK14" s="650"/>
      <c r="AL14" s="650"/>
      <c r="AM14" s="650"/>
      <c r="AN14" s="650"/>
      <c r="AO14" s="650"/>
      <c r="AP14" s="296" t="s">
        <v>450</v>
      </c>
      <c r="AQ14" s="651"/>
      <c r="AR14" s="513"/>
      <c r="AS14" s="513"/>
      <c r="AT14" s="513"/>
      <c r="AU14" s="513"/>
      <c r="AV14" s="513"/>
      <c r="AW14" s="648"/>
      <c r="AX14" s="649"/>
      <c r="AY14" s="649"/>
      <c r="AZ14" s="641"/>
      <c r="BA14" s="642"/>
      <c r="BB14" s="642"/>
      <c r="BC14" s="642"/>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row>
    <row r="15" spans="1:81" s="229" customFormat="1" ht="128.25" customHeight="1" x14ac:dyDescent="0.25">
      <c r="A15" s="317"/>
      <c r="B15" s="317"/>
      <c r="C15" s="317"/>
      <c r="D15" s="643" t="s">
        <v>539</v>
      </c>
      <c r="E15" s="646" t="s">
        <v>218</v>
      </c>
      <c r="F15" s="646" t="s">
        <v>131</v>
      </c>
      <c r="G15" s="646" t="s">
        <v>311</v>
      </c>
      <c r="H15" s="646" t="s">
        <v>227</v>
      </c>
      <c r="I15" s="325" t="s">
        <v>676</v>
      </c>
      <c r="J15" s="325"/>
      <c r="K15" s="633" t="s">
        <v>675</v>
      </c>
      <c r="L15" s="633" t="s">
        <v>674</v>
      </c>
      <c r="M15" s="633" t="s">
        <v>124</v>
      </c>
      <c r="N15" s="633" t="s">
        <v>427</v>
      </c>
      <c r="O15" s="633" t="s">
        <v>673</v>
      </c>
      <c r="P15" s="326">
        <v>300</v>
      </c>
      <c r="Q15" s="327" t="str">
        <f t="shared" ref="Q15:Q38" si="0">IF(P15&lt;=0,"",IF(P15&lt;=2,"Muy Baja",IF(P15&lt;=24,"Baja",IF(P15&lt;=500,"Media",IF(P15&lt;=5000,"Alta","Muy Alta")))))</f>
        <v>Media</v>
      </c>
      <c r="R15" s="328">
        <f t="shared" ref="R15:R38" si="1">IF(Q15="","",IF(Q15="Muy Baja",0.2,IF(Q15="Baja",0.4,IF(Q15="Media",0.6,IF(Q15="Alta",0.8,IF(Q15="Muy Alta",1,))))))</f>
        <v>0.6</v>
      </c>
      <c r="S15" s="378" t="s">
        <v>151</v>
      </c>
      <c r="T15" s="379" t="str">
        <f>IF(NOT(ISERROR(MATCH(S15,'Tabla Impacto'!$B$221:$B$223,0))),'Tabla Impacto'!$F$223&amp;"Por favor no seleccionar los criterios de impacto(Afectación Económica o presupuestal y Pérdida Reputacional)",S15)</f>
        <v xml:space="preserve">     El riesgo afecta la imagen de de la entidad con efecto publicitario sostenido a nivel de sector administrativo, nivel departamental o municipal</v>
      </c>
      <c r="U15" s="380" t="str">
        <f>IF(OR(T15='[4]Tabla Impacto'!$C$11,T15='[4]Tabla Impacto'!$D$11),"Leve",IF(OR(T15='[4]Tabla Impacto'!$C$12,T15='[4]Tabla Impacto'!$D$12),"Menor",IF(OR(T15='[4]Tabla Impacto'!$C$13,T15='[4]Tabla Impacto'!$D$13),"Moderado",IF(OR(T15='[4]Tabla Impacto'!$C$14,T15='[4]Tabla Impacto'!$D$14),"Mayor",IF(OR(T15='[4]Tabla Impacto'!$C$15,T15='[4]Tabla Impacto'!$D$15),"Catastrófico","")))))</f>
        <v>Mayor</v>
      </c>
      <c r="V15" s="379">
        <f>IF(U15="","",IF(U15="Leve",0.2,IF(U15="Menor",0.4,IF(U15="Moderado",0.6,IF(U15="Mayor",0.8,IF(U15="Catastrófico",1,))))))</f>
        <v>0.8</v>
      </c>
      <c r="W15" s="380" t="str">
        <f>IF(OR(AND(Q15="Muy Baja",U15="Leve"),AND(Q15="Muy Baja",U15="Menor"),AND(Q15="Baja",U15="Leve")),"Bajo",IF(OR(AND(Q15="Muy baja",U15="Moderado"),AND(Q15="Baja",U15="Menor"),AND(Q15="Baja",U15="Moderado"),AND(Q15="Media",U15="Leve"),AND(Q15="Media",U15="Menor"),AND(Q15="Media",U15="Moderado"),AND(Q15="Alta",U15="Leve"),AND(Q15="Alta",U15="Menor")),"Moderado",IF(OR(AND(Q15="Muy Baja",U15="Mayor"),AND(Q15="Baja",U15="Mayor"),AND(Q15="Media",U15="Mayor"),AND(Q15="Alta",U15="Moderado"),AND(Q15="Alta",U15="Mayor"),AND(Q15="Muy Alta",U15="Leve"),AND(Q15="Muy Alta",U15="Menor"),AND(Q15="Muy Alta",U15="Moderado"),AND(Q15="Muy Alta",U15="Mayor")),"Alto",IF(OR(AND(Q15="Muy Baja",U15="Catastrófico"),AND(Q15="Baja",U15="Catastrófico"),AND(Q15="Media",U15="Catastrófico"),AND(Q15="Alta",U15="Catastrófico"),AND(Q15="Muy Alta",U15="Catastrófico")),"Extremo",""))))</f>
        <v>Alto</v>
      </c>
      <c r="X15" s="329">
        <v>1</v>
      </c>
      <c r="Y15" s="330" t="s">
        <v>672</v>
      </c>
      <c r="Z15" s="331" t="s">
        <v>671</v>
      </c>
      <c r="AA15" s="332" t="str">
        <f t="shared" ref="AA15:AA33" si="2">IF(OR(AB15="Preventivo",AB15="Detectivo"),"Probabilidad",IF(AB15="Correctivo","Impacto",""))</f>
        <v>Probabilidad</v>
      </c>
      <c r="AB15" s="333" t="s">
        <v>13</v>
      </c>
      <c r="AC15" s="333" t="s">
        <v>8</v>
      </c>
      <c r="AD15" s="328" t="str">
        <f t="shared" ref="AD15:AD38" si="3">IF(AND(AB15="Preventivo",AC15="Automático"),"50%",IF(AND(AB15="Preventivo",AC15="Manual"),"40%",IF(AND(AB15="Detectivo",AC15="Automático"),"40%",IF(AND(AB15="Detectivo",AC15="Manual"),"30%",IF(AND(AB15="Correctivo",AC15="Automático"),"35%",IF(AND(AB15="Correctivo",AC15="Manual"),"25%",""))))))</f>
        <v>40%</v>
      </c>
      <c r="AE15" s="333" t="s">
        <v>18</v>
      </c>
      <c r="AF15" s="333" t="s">
        <v>22</v>
      </c>
      <c r="AG15" s="333" t="s">
        <v>117</v>
      </c>
      <c r="AH15" s="326" t="s">
        <v>394</v>
      </c>
      <c r="AI15" s="359">
        <f>IFERROR(IF(AA15="Probabilidad",(R15-(+R15*AD15)),IF(AA15="Impacto",R15,"")),"")</f>
        <v>0.36</v>
      </c>
      <c r="AJ15" s="334" t="str">
        <f t="shared" ref="AJ15:AJ38" si="4">IFERROR(IF(AI15="","",IF(AI15&lt;=0.2,"Muy Baja",IF(AI15&lt;=0.4,"Baja",IF(AI15&lt;=0.6,"Media",IF(AI15&lt;=0.8,"Alta","Muy Alta"))))),"")</f>
        <v>Baja</v>
      </c>
      <c r="AK15" s="328">
        <f t="shared" ref="AK15:AK38" si="5">+AI15</f>
        <v>0.36</v>
      </c>
      <c r="AL15" s="334" t="str">
        <f t="shared" ref="AL15:AL38" si="6">IFERROR(IF(AM15="","",IF(AM15&lt;=0.2,"Leve",IF(AM15&lt;=0.4,"Menor",IF(AM15&lt;=0.6,"Moderado",IF(AM15&lt;=0.8,"Mayor","Catastrófico"))))),"")</f>
        <v>Mayor</v>
      </c>
      <c r="AM15" s="328">
        <f>IFERROR(IF(AA15="Impacto",(V15-(+V15*AD15)),IF(AA15="Probabilidad",V15,"")),"")</f>
        <v>0.8</v>
      </c>
      <c r="AN15" s="334" t="str">
        <f t="shared" ref="AN15:AN38" si="7">IFERROR(IF(OR(AND(AJ15="Muy Baja",AL15="Leve"),AND(AJ15="Muy Baja",AL15="Menor"),AND(AJ15="Baja",AL15="Leve")),"Bajo",IF(OR(AND(AJ15="Muy baja",AL15="Moderado"),AND(AJ15="Baja",AL15="Menor"),AND(AJ15="Baja",AL15="Moderado"),AND(AJ15="Media",AL15="Leve"),AND(AJ15="Media",AL15="Menor"),AND(AJ15="Media",AL15="Moderado"),AND(AJ15="Alta",AL15="Leve"),AND(AJ15="Alta",AL15="Menor")),"Moderado",IF(OR(AND(AJ15="Muy Baja",AL15="Mayor"),AND(AJ15="Baja",AL15="Mayor"),AND(AJ15="Media",AL15="Mayor"),AND(AJ15="Alta",AL15="Moderado"),AND(AJ15="Alta",AL15="Mayor"),AND(AJ15="Muy Alta",AL15="Leve"),AND(AJ15="Muy Alta",AL15="Menor"),AND(AJ15="Muy Alta",AL15="Moderado"),AND(AJ15="Muy Alta",AL15="Mayor")),"Alto",IF(OR(AND(AJ15="Muy Baja",AL15="Catastrófico"),AND(AJ15="Baja",AL15="Catastrófico"),AND(AJ15="Media",AL15="Catastrófico"),AND(AJ15="Alta",AL15="Catastrófico"),AND(AJ15="Muy Alta",AL15="Catastrófico")),"Extremo","")))),"")</f>
        <v>Alto</v>
      </c>
      <c r="AO15" s="333" t="s">
        <v>133</v>
      </c>
      <c r="AP15" s="638" t="s">
        <v>612</v>
      </c>
      <c r="AQ15" s="335" t="s">
        <v>670</v>
      </c>
      <c r="AR15" s="336" t="s">
        <v>391</v>
      </c>
      <c r="AS15" s="337">
        <v>45687</v>
      </c>
      <c r="AT15" s="337">
        <v>45777</v>
      </c>
      <c r="AU15" s="633" t="s">
        <v>669</v>
      </c>
      <c r="AV15" s="326" t="s">
        <v>39</v>
      </c>
      <c r="AW15" s="337">
        <v>45926</v>
      </c>
      <c r="AX15" s="953" t="s">
        <v>728</v>
      </c>
      <c r="AY15" s="326" t="s">
        <v>39</v>
      </c>
      <c r="AZ15" s="951" t="s">
        <v>729</v>
      </c>
      <c r="BA15" s="337"/>
      <c r="BB15" s="326"/>
      <c r="BC15" s="338"/>
    </row>
    <row r="16" spans="1:81" s="229" customFormat="1" ht="128.25" customHeight="1" x14ac:dyDescent="0.25">
      <c r="A16" s="317"/>
      <c r="B16" s="317"/>
      <c r="C16" s="317"/>
      <c r="D16" s="644"/>
      <c r="E16" s="598"/>
      <c r="F16" s="598"/>
      <c r="G16" s="598"/>
      <c r="H16" s="598"/>
      <c r="I16" s="318" t="s">
        <v>668</v>
      </c>
      <c r="J16" s="318"/>
      <c r="K16" s="634"/>
      <c r="L16" s="634"/>
      <c r="M16" s="634"/>
      <c r="N16" s="634"/>
      <c r="O16" s="636"/>
      <c r="P16" s="240">
        <v>1</v>
      </c>
      <c r="Q16" s="314" t="str">
        <f t="shared" si="0"/>
        <v>Muy Baja</v>
      </c>
      <c r="R16" s="305">
        <f t="shared" si="1"/>
        <v>0.2</v>
      </c>
      <c r="S16" s="299" t="s">
        <v>151</v>
      </c>
      <c r="T16" s="381" t="str">
        <f>IF(NOT(ISERROR(MATCH(S16,'Tabla Impacto'!$B$221:$B$223,0))),'Tabla Impacto'!$F$223&amp;"Por favor no seleccionar los criterios de impacto(Afectación Económica o presupuestal y Pérdida Reputacional)",S16)</f>
        <v xml:space="preserve">     El riesgo afecta la imagen de de la entidad con efecto publicitario sostenido a nivel de sector administrativo, nivel departamental o municipal</v>
      </c>
      <c r="U16" s="309" t="str">
        <f>IF(OR(T16='[4]Tabla Impacto'!$C$11,T16='[4]Tabla Impacto'!$D$11),"Leve",IF(OR(T16='[4]Tabla Impacto'!$C$12,T16='[4]Tabla Impacto'!$D$12),"Menor",IF(OR(T16='[4]Tabla Impacto'!$C$13,T16='[4]Tabla Impacto'!$D$13),"Moderado",IF(OR(T16='[4]Tabla Impacto'!$C$14,T16='[4]Tabla Impacto'!$D$14),"Mayor",IF(OR(T16='[4]Tabla Impacto'!$C$15,T16='[4]Tabla Impacto'!$D$15),"Catastrófico","")))))</f>
        <v>Mayor</v>
      </c>
      <c r="V16" s="381">
        <f t="shared" ref="V16:V21" si="8">IF(U16="","",IF(U16="Leve",0.2,IF(U16="Menor",0.4,IF(U16="Moderado",0.6,IF(U16="Mayor",0.8,IF(U16="Catastrófico",1,))))))</f>
        <v>0.8</v>
      </c>
      <c r="W16" s="309" t="str">
        <f t="shared" ref="W16:W21" si="9">IF(OR(AND(Q16="Muy Baja",U16="Leve"),AND(Q16="Muy Baja",U16="Menor"),AND(Q16="Baja",U16="Leve")),"Bajo",IF(OR(AND(Q16="Muy baja",U16="Moderado"),AND(Q16="Baja",U16="Menor"),AND(Q16="Baja",U16="Moderado"),AND(Q16="Media",U16="Leve"),AND(Q16="Media",U16="Menor"),AND(Q16="Media",U16="Moderado"),AND(Q16="Alta",U16="Leve"),AND(Q16="Alta",U16="Menor")),"Moderado",IF(OR(AND(Q16="Muy Baja",U16="Mayor"),AND(Q16="Baja",U16="Mayor"),AND(Q16="Media",U16="Mayor"),AND(Q16="Alta",U16="Moderado"),AND(Q16="Alta",U16="Mayor"),AND(Q16="Muy Alta",U16="Leve"),AND(Q16="Muy Alta",U16="Menor"),AND(Q16="Muy Alta",U16="Moderado"),AND(Q16="Muy Alta",U16="Mayor")),"Alto",IF(OR(AND(Q16="Muy Baja",U16="Catastrófico"),AND(Q16="Baja",U16="Catastrófico"),AND(Q16="Media",U16="Catastrófico"),AND(Q16="Alta",U16="Catastrófico"),AND(Q16="Muy Alta",U16="Catastrófico")),"Extremo",""))))</f>
        <v>Alto</v>
      </c>
      <c r="X16" s="308">
        <v>2</v>
      </c>
      <c r="Y16" s="320" t="s">
        <v>667</v>
      </c>
      <c r="Z16" s="312" t="s">
        <v>666</v>
      </c>
      <c r="AA16" s="306" t="s">
        <v>4</v>
      </c>
      <c r="AB16" s="303" t="s">
        <v>13</v>
      </c>
      <c r="AC16" s="303" t="s">
        <v>8</v>
      </c>
      <c r="AD16" s="305" t="str">
        <f t="shared" si="3"/>
        <v>40%</v>
      </c>
      <c r="AE16" s="303" t="s">
        <v>18</v>
      </c>
      <c r="AF16" s="303" t="s">
        <v>22</v>
      </c>
      <c r="AG16" s="303" t="s">
        <v>117</v>
      </c>
      <c r="AH16" s="240" t="s">
        <v>394</v>
      </c>
      <c r="AI16" s="360">
        <f>IFERROR(IF(AND(AA15="Probabilidad",AA16="Probabilidad"),(AK15-(+AK15*AD16)),IF(AA16="Probabilidad",(S15-(+S15*AA16)),IF(AA16="Impacto",AK15,""))),"")</f>
        <v>0.216</v>
      </c>
      <c r="AJ16" s="304" t="str">
        <f t="shared" si="4"/>
        <v>Baja</v>
      </c>
      <c r="AK16" s="305">
        <f t="shared" si="5"/>
        <v>0.216</v>
      </c>
      <c r="AL16" s="304" t="str">
        <f t="shared" si="6"/>
        <v>Mayor</v>
      </c>
      <c r="AM16" s="305">
        <f>IFERROR(IF(AA15="Impacto",(V15-(+V15*AD15)),IF(AA16="Probabilidad",V15,"")),"")</f>
        <v>0.8</v>
      </c>
      <c r="AN16" s="304" t="str">
        <f t="shared" si="7"/>
        <v>Alto</v>
      </c>
      <c r="AO16" s="303" t="s">
        <v>133</v>
      </c>
      <c r="AP16" s="639"/>
      <c r="AQ16" s="311" t="s">
        <v>665</v>
      </c>
      <c r="AR16" s="313" t="s">
        <v>644</v>
      </c>
      <c r="AS16" s="300">
        <v>45687</v>
      </c>
      <c r="AT16" s="300">
        <v>45777</v>
      </c>
      <c r="AU16" s="634"/>
      <c r="AV16" s="240" t="s">
        <v>39</v>
      </c>
      <c r="AW16" s="300">
        <v>45926</v>
      </c>
      <c r="AX16" s="947" t="s">
        <v>730</v>
      </c>
      <c r="AY16" s="240" t="s">
        <v>39</v>
      </c>
      <c r="AZ16" s="240" t="s">
        <v>738</v>
      </c>
      <c r="BA16" s="300"/>
      <c r="BB16" s="240"/>
      <c r="BC16" s="339"/>
    </row>
    <row r="17" spans="1:55" s="229" customFormat="1" ht="207" customHeight="1" x14ac:dyDescent="0.25">
      <c r="A17" s="317"/>
      <c r="B17" s="317"/>
      <c r="C17" s="317"/>
      <c r="D17" s="644"/>
      <c r="E17" s="598"/>
      <c r="F17" s="598"/>
      <c r="G17" s="598"/>
      <c r="H17" s="598"/>
      <c r="I17" s="321" t="s">
        <v>664</v>
      </c>
      <c r="J17" s="321"/>
      <c r="K17" s="634"/>
      <c r="L17" s="634"/>
      <c r="M17" s="634"/>
      <c r="N17" s="634"/>
      <c r="O17" s="636"/>
      <c r="P17" s="240">
        <v>600</v>
      </c>
      <c r="Q17" s="314" t="str">
        <f t="shared" si="0"/>
        <v>Alta</v>
      </c>
      <c r="R17" s="305">
        <f t="shared" si="1"/>
        <v>0.8</v>
      </c>
      <c r="S17" s="299" t="s">
        <v>151</v>
      </c>
      <c r="T17" s="381" t="str">
        <f>IF(NOT(ISERROR(MATCH(S17,'Tabla Impacto'!$B$221:$B$223,0))),'Tabla Impacto'!$F$223&amp;"Por favor no seleccionar los criterios de impacto(Afectación Económica o presupuestal y Pérdida Reputacional)",S17)</f>
        <v xml:space="preserve">     El riesgo afecta la imagen de de la entidad con efecto publicitario sostenido a nivel de sector administrativo, nivel departamental o municipal</v>
      </c>
      <c r="U17" s="309" t="str">
        <f>IF(OR(T17='[4]Tabla Impacto'!$C$11,T17='[4]Tabla Impacto'!$D$11),"Leve",IF(OR(T17='[4]Tabla Impacto'!$C$12,T17='[4]Tabla Impacto'!$D$12),"Menor",IF(OR(T17='[4]Tabla Impacto'!$C$13,T17='[4]Tabla Impacto'!$D$13),"Moderado",IF(OR(T17='[4]Tabla Impacto'!$C$14,T17='[4]Tabla Impacto'!$D$14),"Mayor",IF(OR(T17='[4]Tabla Impacto'!$C$15,T17='[4]Tabla Impacto'!$D$15),"Catastrófico","")))))</f>
        <v>Mayor</v>
      </c>
      <c r="V17" s="381">
        <f t="shared" si="8"/>
        <v>0.8</v>
      </c>
      <c r="W17" s="309" t="str">
        <f t="shared" si="9"/>
        <v>Alto</v>
      </c>
      <c r="X17" s="308">
        <v>3</v>
      </c>
      <c r="Y17" s="320" t="s">
        <v>663</v>
      </c>
      <c r="Z17" s="312" t="s">
        <v>662</v>
      </c>
      <c r="AA17" s="306" t="s">
        <v>4</v>
      </c>
      <c r="AB17" s="303" t="s">
        <v>13</v>
      </c>
      <c r="AC17" s="303" t="s">
        <v>8</v>
      </c>
      <c r="AD17" s="305" t="str">
        <f t="shared" si="3"/>
        <v>40%</v>
      </c>
      <c r="AE17" s="303" t="s">
        <v>18</v>
      </c>
      <c r="AF17" s="303" t="s">
        <v>22</v>
      </c>
      <c r="AG17" s="303" t="s">
        <v>117</v>
      </c>
      <c r="AH17" s="240" t="s">
        <v>394</v>
      </c>
      <c r="AI17" s="360">
        <f t="shared" ref="AI17:AI20" si="10">IFERROR(IF(AND(AA16="Probabilidad",AA17="Probabilidad"),(AK16-(+AK16*AD17)),IF(AA17="Probabilidad",(S16-(+S16*AA17)),IF(AA17="Impacto",AK16,""))),"")</f>
        <v>0.12959999999999999</v>
      </c>
      <c r="AJ17" s="304" t="str">
        <f t="shared" si="4"/>
        <v>Muy Baja</v>
      </c>
      <c r="AK17" s="305">
        <f t="shared" si="5"/>
        <v>0.12959999999999999</v>
      </c>
      <c r="AL17" s="304" t="str">
        <f t="shared" si="6"/>
        <v>Mayor</v>
      </c>
      <c r="AM17" s="305">
        <f t="shared" ref="AM17:AM38" si="11">IFERROR(IF(AA17="Impacto",(V17-(+V17*AD17)),IF(AA17="Probabilidad",V17,"")),"")</f>
        <v>0.8</v>
      </c>
      <c r="AN17" s="304" t="str">
        <f t="shared" si="7"/>
        <v>Alto</v>
      </c>
      <c r="AO17" s="303" t="s">
        <v>133</v>
      </c>
      <c r="AP17" s="639"/>
      <c r="AQ17" s="311" t="s">
        <v>661</v>
      </c>
      <c r="AR17" s="319" t="s">
        <v>391</v>
      </c>
      <c r="AS17" s="300">
        <v>45687</v>
      </c>
      <c r="AT17" s="300">
        <v>45777</v>
      </c>
      <c r="AU17" s="634"/>
      <c r="AV17" s="240" t="s">
        <v>39</v>
      </c>
      <c r="AW17" s="300">
        <v>45926</v>
      </c>
      <c r="AX17" s="947" t="s">
        <v>731</v>
      </c>
      <c r="AY17" s="240" t="s">
        <v>39</v>
      </c>
      <c r="AZ17" s="240" t="s">
        <v>739</v>
      </c>
      <c r="BA17" s="300"/>
      <c r="BB17" s="240"/>
      <c r="BC17" s="339"/>
    </row>
    <row r="18" spans="1:55" s="229" customFormat="1" ht="217.5" customHeight="1" x14ac:dyDescent="0.25">
      <c r="A18" s="317"/>
      <c r="B18" s="317"/>
      <c r="C18" s="317"/>
      <c r="D18" s="644"/>
      <c r="E18" s="598"/>
      <c r="F18" s="598"/>
      <c r="G18" s="598"/>
      <c r="H18" s="598"/>
      <c r="I18" s="322" t="s">
        <v>660</v>
      </c>
      <c r="J18" s="322"/>
      <c r="K18" s="634"/>
      <c r="L18" s="634"/>
      <c r="M18" s="634"/>
      <c r="N18" s="634"/>
      <c r="O18" s="636"/>
      <c r="P18" s="240">
        <v>5001</v>
      </c>
      <c r="Q18" s="314" t="str">
        <f t="shared" si="0"/>
        <v>Muy Alta</v>
      </c>
      <c r="R18" s="305">
        <f t="shared" si="1"/>
        <v>1</v>
      </c>
      <c r="S18" s="299" t="s">
        <v>151</v>
      </c>
      <c r="T18" s="381" t="str">
        <f>IF(NOT(ISERROR(MATCH(S18,'Tabla Impacto'!$B$221:$B$223,0))),'Tabla Impacto'!$F$223&amp;"Por favor no seleccionar los criterios de impacto(Afectación Económica o presupuestal y Pérdida Reputacional)",S18)</f>
        <v xml:space="preserve">     El riesgo afecta la imagen de de la entidad con efecto publicitario sostenido a nivel de sector administrativo, nivel departamental o municipal</v>
      </c>
      <c r="U18" s="309" t="str">
        <f>IF(OR(T18='[4]Tabla Impacto'!$C$11,T18='[4]Tabla Impacto'!$D$11),"Leve",IF(OR(T18='[4]Tabla Impacto'!$C$12,T18='[4]Tabla Impacto'!$D$12),"Menor",IF(OR(T18='[4]Tabla Impacto'!$C$13,T18='[4]Tabla Impacto'!$D$13),"Moderado",IF(OR(T18='[4]Tabla Impacto'!$C$14,T18='[4]Tabla Impacto'!$D$14),"Mayor",IF(OR(T18='[4]Tabla Impacto'!$C$15,T18='[4]Tabla Impacto'!$D$15),"Catastrófico","")))))</f>
        <v>Mayor</v>
      </c>
      <c r="V18" s="381">
        <f t="shared" si="8"/>
        <v>0.8</v>
      </c>
      <c r="W18" s="309" t="str">
        <f t="shared" si="9"/>
        <v>Alto</v>
      </c>
      <c r="X18" s="308">
        <v>4</v>
      </c>
      <c r="Y18" s="320" t="s">
        <v>659</v>
      </c>
      <c r="Z18" s="312" t="s">
        <v>658</v>
      </c>
      <c r="AA18" s="306" t="s">
        <v>4</v>
      </c>
      <c r="AB18" s="303" t="s">
        <v>13</v>
      </c>
      <c r="AC18" s="303" t="s">
        <v>8</v>
      </c>
      <c r="AD18" s="305" t="str">
        <f t="shared" si="3"/>
        <v>40%</v>
      </c>
      <c r="AE18" s="303" t="s">
        <v>18</v>
      </c>
      <c r="AF18" s="303" t="s">
        <v>22</v>
      </c>
      <c r="AG18" s="303" t="s">
        <v>117</v>
      </c>
      <c r="AH18" s="240" t="s">
        <v>394</v>
      </c>
      <c r="AI18" s="360">
        <f t="shared" si="10"/>
        <v>7.7759999999999996E-2</v>
      </c>
      <c r="AJ18" s="304" t="str">
        <f t="shared" si="4"/>
        <v>Muy Baja</v>
      </c>
      <c r="AK18" s="305">
        <f t="shared" si="5"/>
        <v>7.7759999999999996E-2</v>
      </c>
      <c r="AL18" s="304" t="str">
        <f t="shared" si="6"/>
        <v>Mayor</v>
      </c>
      <c r="AM18" s="305">
        <f t="shared" si="11"/>
        <v>0.8</v>
      </c>
      <c r="AN18" s="304" t="str">
        <f t="shared" si="7"/>
        <v>Alto</v>
      </c>
      <c r="AO18" s="303" t="s">
        <v>133</v>
      </c>
      <c r="AP18" s="639"/>
      <c r="AQ18" s="311" t="s">
        <v>657</v>
      </c>
      <c r="AR18" s="319" t="s">
        <v>391</v>
      </c>
      <c r="AS18" s="300">
        <v>45687</v>
      </c>
      <c r="AT18" s="300">
        <v>45777</v>
      </c>
      <c r="AU18" s="634"/>
      <c r="AV18" s="240" t="s">
        <v>39</v>
      </c>
      <c r="AW18" s="300">
        <v>45926</v>
      </c>
      <c r="AX18" s="947" t="s">
        <v>732</v>
      </c>
      <c r="AY18" s="240" t="s">
        <v>39</v>
      </c>
      <c r="AZ18" s="952" t="s">
        <v>733</v>
      </c>
      <c r="BA18" s="300"/>
      <c r="BB18" s="240"/>
      <c r="BC18" s="339"/>
    </row>
    <row r="19" spans="1:55" s="229" customFormat="1" ht="135.75" customHeight="1" x14ac:dyDescent="0.25">
      <c r="A19" s="317"/>
      <c r="B19" s="317"/>
      <c r="C19" s="317"/>
      <c r="D19" s="644"/>
      <c r="E19" s="598"/>
      <c r="F19" s="598"/>
      <c r="G19" s="598"/>
      <c r="H19" s="598"/>
      <c r="I19" s="318" t="s">
        <v>656</v>
      </c>
      <c r="J19" s="318"/>
      <c r="K19" s="634"/>
      <c r="L19" s="634"/>
      <c r="M19" s="634"/>
      <c r="N19" s="634"/>
      <c r="O19" s="636"/>
      <c r="P19" s="240">
        <v>5001</v>
      </c>
      <c r="Q19" s="314" t="str">
        <f t="shared" si="0"/>
        <v>Muy Alta</v>
      </c>
      <c r="R19" s="305">
        <f t="shared" si="1"/>
        <v>1</v>
      </c>
      <c r="S19" s="299" t="s">
        <v>151</v>
      </c>
      <c r="T19" s="381" t="str">
        <f>IF(NOT(ISERROR(MATCH(S19,'Tabla Impacto'!$B$221:$B$223,0))),'Tabla Impacto'!$F$223&amp;"Por favor no seleccionar los criterios de impacto(Afectación Económica o presupuestal y Pérdida Reputacional)",S19)</f>
        <v xml:space="preserve">     El riesgo afecta la imagen de de la entidad con efecto publicitario sostenido a nivel de sector administrativo, nivel departamental o municipal</v>
      </c>
      <c r="U19" s="309" t="str">
        <f>IF(OR(T19='[4]Tabla Impacto'!$C$11,T19='[4]Tabla Impacto'!$D$11),"Leve",IF(OR(T19='[4]Tabla Impacto'!$C$12,T19='[4]Tabla Impacto'!$D$12),"Menor",IF(OR(T19='[4]Tabla Impacto'!$C$13,T19='[4]Tabla Impacto'!$D$13),"Moderado",IF(OR(T19='[4]Tabla Impacto'!$C$14,T19='[4]Tabla Impacto'!$D$14),"Mayor",IF(OR(T19='[4]Tabla Impacto'!$C$15,T19='[4]Tabla Impacto'!$D$15),"Catastrófico","")))))</f>
        <v>Mayor</v>
      </c>
      <c r="V19" s="381">
        <f t="shared" si="8"/>
        <v>0.8</v>
      </c>
      <c r="W19" s="309" t="str">
        <f t="shared" si="9"/>
        <v>Alto</v>
      </c>
      <c r="X19" s="308">
        <v>5</v>
      </c>
      <c r="Y19" s="310" t="s">
        <v>655</v>
      </c>
      <c r="Z19" s="312" t="s">
        <v>654</v>
      </c>
      <c r="AA19" s="306" t="str">
        <f t="shared" si="2"/>
        <v>Probabilidad</v>
      </c>
      <c r="AB19" s="303" t="s">
        <v>13</v>
      </c>
      <c r="AC19" s="303" t="s">
        <v>8</v>
      </c>
      <c r="AD19" s="305" t="str">
        <f t="shared" si="3"/>
        <v>40%</v>
      </c>
      <c r="AE19" s="303" t="s">
        <v>18</v>
      </c>
      <c r="AF19" s="303" t="s">
        <v>22</v>
      </c>
      <c r="AG19" s="303" t="s">
        <v>117</v>
      </c>
      <c r="AH19" s="240" t="s">
        <v>394</v>
      </c>
      <c r="AI19" s="360">
        <f t="shared" si="10"/>
        <v>4.6655999999999996E-2</v>
      </c>
      <c r="AJ19" s="304" t="str">
        <f t="shared" si="4"/>
        <v>Muy Baja</v>
      </c>
      <c r="AK19" s="305">
        <f t="shared" si="5"/>
        <v>4.6655999999999996E-2</v>
      </c>
      <c r="AL19" s="304" t="str">
        <f t="shared" si="6"/>
        <v>Mayor</v>
      </c>
      <c r="AM19" s="305">
        <f t="shared" si="11"/>
        <v>0.8</v>
      </c>
      <c r="AN19" s="304" t="str">
        <f t="shared" si="7"/>
        <v>Alto</v>
      </c>
      <c r="AO19" s="303" t="s">
        <v>133</v>
      </c>
      <c r="AP19" s="639"/>
      <c r="AQ19" s="311" t="s">
        <v>653</v>
      </c>
      <c r="AR19" s="313" t="s">
        <v>644</v>
      </c>
      <c r="AS19" s="300">
        <v>45687</v>
      </c>
      <c r="AT19" s="300">
        <v>45777</v>
      </c>
      <c r="AU19" s="634"/>
      <c r="AV19" s="240" t="s">
        <v>39</v>
      </c>
      <c r="AW19" s="300">
        <v>45926</v>
      </c>
      <c r="AX19" s="947" t="s">
        <v>734</v>
      </c>
      <c r="AY19" s="240" t="s">
        <v>39</v>
      </c>
      <c r="AZ19" s="949" t="s">
        <v>735</v>
      </c>
      <c r="BA19" s="300"/>
      <c r="BB19" s="240"/>
      <c r="BC19" s="339"/>
    </row>
    <row r="20" spans="1:55" s="229" customFormat="1" ht="148.5" customHeight="1" x14ac:dyDescent="0.25">
      <c r="A20" s="317"/>
      <c r="B20" s="317"/>
      <c r="C20" s="317"/>
      <c r="D20" s="644"/>
      <c r="E20" s="598"/>
      <c r="F20" s="598"/>
      <c r="G20" s="598"/>
      <c r="H20" s="598"/>
      <c r="I20" s="318" t="s">
        <v>609</v>
      </c>
      <c r="J20" s="318"/>
      <c r="K20" s="634"/>
      <c r="L20" s="634"/>
      <c r="M20" s="634"/>
      <c r="N20" s="634"/>
      <c r="O20" s="636"/>
      <c r="P20" s="240">
        <v>500</v>
      </c>
      <c r="Q20" s="314" t="str">
        <f t="shared" si="0"/>
        <v>Media</v>
      </c>
      <c r="R20" s="305">
        <f t="shared" si="1"/>
        <v>0.6</v>
      </c>
      <c r="S20" s="299" t="s">
        <v>151</v>
      </c>
      <c r="T20" s="381" t="str">
        <f>IF(NOT(ISERROR(MATCH(S20,'Tabla Impacto'!$B$221:$B$223,0))),'Tabla Impacto'!$F$223&amp;"Por favor no seleccionar los criterios de impacto(Afectación Económica o presupuestal y Pérdida Reputacional)",S20)</f>
        <v xml:space="preserve">     El riesgo afecta la imagen de de la entidad con efecto publicitario sostenido a nivel de sector administrativo, nivel departamental o municipal</v>
      </c>
      <c r="U20" s="309" t="str">
        <f>IF(OR(T20='[4]Tabla Impacto'!$C$11,T20='[4]Tabla Impacto'!$D$11),"Leve",IF(OR(T20='[4]Tabla Impacto'!$C$12,T20='[4]Tabla Impacto'!$D$12),"Menor",IF(OR(T20='[4]Tabla Impacto'!$C$13,T20='[4]Tabla Impacto'!$D$13),"Moderado",IF(OR(T20='[4]Tabla Impacto'!$C$14,T20='[4]Tabla Impacto'!$D$14),"Mayor",IF(OR(T20='[4]Tabla Impacto'!$C$15,T20='[4]Tabla Impacto'!$D$15),"Catastrófico","")))))</f>
        <v>Mayor</v>
      </c>
      <c r="V20" s="381">
        <f t="shared" si="8"/>
        <v>0.8</v>
      </c>
      <c r="W20" s="309" t="str">
        <f t="shared" si="9"/>
        <v>Alto</v>
      </c>
      <c r="X20" s="308">
        <v>6</v>
      </c>
      <c r="Y20" s="310" t="s">
        <v>652</v>
      </c>
      <c r="Z20" s="312" t="s">
        <v>651</v>
      </c>
      <c r="AA20" s="306" t="s">
        <v>4</v>
      </c>
      <c r="AB20" s="303" t="s">
        <v>13</v>
      </c>
      <c r="AC20" s="303" t="s">
        <v>8</v>
      </c>
      <c r="AD20" s="305" t="str">
        <f t="shared" si="3"/>
        <v>40%</v>
      </c>
      <c r="AE20" s="303" t="s">
        <v>18</v>
      </c>
      <c r="AF20" s="303" t="s">
        <v>22</v>
      </c>
      <c r="AG20" s="303" t="s">
        <v>117</v>
      </c>
      <c r="AH20" s="240" t="s">
        <v>394</v>
      </c>
      <c r="AI20" s="360">
        <f t="shared" si="10"/>
        <v>2.7993599999999997E-2</v>
      </c>
      <c r="AJ20" s="304" t="str">
        <f t="shared" si="4"/>
        <v>Muy Baja</v>
      </c>
      <c r="AK20" s="305">
        <f t="shared" si="5"/>
        <v>2.7993599999999997E-2</v>
      </c>
      <c r="AL20" s="304" t="str">
        <f t="shared" si="6"/>
        <v>Mayor</v>
      </c>
      <c r="AM20" s="305">
        <f t="shared" si="11"/>
        <v>0.8</v>
      </c>
      <c r="AN20" s="304" t="str">
        <f t="shared" si="7"/>
        <v>Alto</v>
      </c>
      <c r="AO20" s="303" t="s">
        <v>133</v>
      </c>
      <c r="AP20" s="639"/>
      <c r="AQ20" s="311" t="s">
        <v>650</v>
      </c>
      <c r="AR20" s="319" t="s">
        <v>649</v>
      </c>
      <c r="AS20" s="300">
        <v>45687</v>
      </c>
      <c r="AT20" s="300">
        <v>45777</v>
      </c>
      <c r="AU20" s="634"/>
      <c r="AV20" s="240" t="s">
        <v>39</v>
      </c>
      <c r="AW20" s="300">
        <v>45926</v>
      </c>
      <c r="AX20" s="947" t="s">
        <v>736</v>
      </c>
      <c r="AY20" s="240" t="s">
        <v>39</v>
      </c>
      <c r="AZ20" s="240" t="s">
        <v>740</v>
      </c>
      <c r="BA20" s="300"/>
      <c r="BB20" s="240"/>
      <c r="BC20" s="339"/>
    </row>
    <row r="21" spans="1:55" s="229" customFormat="1" ht="149.25" customHeight="1" thickBot="1" x14ac:dyDescent="0.3">
      <c r="A21" s="954"/>
      <c r="B21" s="954"/>
      <c r="C21" s="317"/>
      <c r="D21" s="955"/>
      <c r="E21" s="956"/>
      <c r="F21" s="956"/>
      <c r="G21" s="956"/>
      <c r="H21" s="956"/>
      <c r="I21" s="315" t="s">
        <v>648</v>
      </c>
      <c r="J21" s="315"/>
      <c r="K21" s="502"/>
      <c r="L21" s="502"/>
      <c r="M21" s="502"/>
      <c r="N21" s="502"/>
      <c r="O21" s="957"/>
      <c r="P21" s="295">
        <v>500</v>
      </c>
      <c r="Q21" s="348" t="str">
        <f t="shared" si="0"/>
        <v>Media</v>
      </c>
      <c r="R21" s="349">
        <f t="shared" si="1"/>
        <v>0.6</v>
      </c>
      <c r="S21" s="294" t="s">
        <v>151</v>
      </c>
      <c r="T21" s="958" t="str">
        <f>IF(NOT(ISERROR(MATCH(S21,'Tabla Impacto'!$B$221:$B$223,0))),'Tabla Impacto'!$F$223&amp;"Por favor no seleccionar los criterios de impacto(Afectación Económica o presupuestal y Pérdida Reputacional)",S21)</f>
        <v xml:space="preserve">     El riesgo afecta la imagen de de la entidad con efecto publicitario sostenido a nivel de sector administrativo, nivel departamental o municipal</v>
      </c>
      <c r="U21" s="959" t="str">
        <f>IF(OR(T21='[4]Tabla Impacto'!$C$11,T21='[4]Tabla Impacto'!$D$11),"Leve",IF(OR(T21='[4]Tabla Impacto'!$C$12,T21='[4]Tabla Impacto'!$D$12),"Menor",IF(OR(T21='[4]Tabla Impacto'!$C$13,T21='[4]Tabla Impacto'!$D$13),"Moderado",IF(OR(T21='[4]Tabla Impacto'!$C$14,T21='[4]Tabla Impacto'!$D$14),"Mayor",IF(OR(T21='[4]Tabla Impacto'!$C$15,T21='[4]Tabla Impacto'!$D$15),"Catastrófico","")))))</f>
        <v>Mayor</v>
      </c>
      <c r="V21" s="958">
        <f t="shared" si="8"/>
        <v>0.8</v>
      </c>
      <c r="W21" s="959" t="str">
        <f t="shared" si="9"/>
        <v>Alto</v>
      </c>
      <c r="X21" s="350">
        <v>7</v>
      </c>
      <c r="Y21" s="316" t="s">
        <v>647</v>
      </c>
      <c r="Z21" s="960" t="s">
        <v>646</v>
      </c>
      <c r="AA21" s="351" t="str">
        <f t="shared" si="2"/>
        <v>Probabilidad</v>
      </c>
      <c r="AB21" s="352" t="s">
        <v>13</v>
      </c>
      <c r="AC21" s="352" t="s">
        <v>8</v>
      </c>
      <c r="AD21" s="349" t="str">
        <f t="shared" si="3"/>
        <v>40%</v>
      </c>
      <c r="AE21" s="352" t="s">
        <v>18</v>
      </c>
      <c r="AF21" s="352" t="s">
        <v>22</v>
      </c>
      <c r="AG21" s="352" t="s">
        <v>117</v>
      </c>
      <c r="AH21" s="295" t="s">
        <v>394</v>
      </c>
      <c r="AI21" s="383">
        <f>IFERROR(IF(AND(AA20="Probabilidad",AA21="Probabilidad"),(AK20-(+AK20*AD21)),IF(AA21="Probabilidad",(S20-(+S20*AA21)),IF(AA21="Impacto",AK20,""))),"")</f>
        <v>1.6796159999999997E-2</v>
      </c>
      <c r="AJ21" s="353" t="str">
        <f t="shared" si="4"/>
        <v>Muy Baja</v>
      </c>
      <c r="AK21" s="349">
        <f t="shared" si="5"/>
        <v>1.6796159999999997E-2</v>
      </c>
      <c r="AL21" s="353" t="str">
        <f t="shared" si="6"/>
        <v>Mayor</v>
      </c>
      <c r="AM21" s="349">
        <f t="shared" si="11"/>
        <v>0.8</v>
      </c>
      <c r="AN21" s="353" t="str">
        <f t="shared" si="7"/>
        <v>Alto</v>
      </c>
      <c r="AO21" s="352" t="s">
        <v>133</v>
      </c>
      <c r="AP21" s="961"/>
      <c r="AQ21" s="962" t="s">
        <v>645</v>
      </c>
      <c r="AR21" s="355" t="s">
        <v>644</v>
      </c>
      <c r="AS21" s="323">
        <v>45687</v>
      </c>
      <c r="AT21" s="323">
        <v>45777</v>
      </c>
      <c r="AU21" s="502"/>
      <c r="AV21" s="295" t="s">
        <v>39</v>
      </c>
      <c r="AW21" s="323">
        <v>45926</v>
      </c>
      <c r="AX21" s="948" t="s">
        <v>737</v>
      </c>
      <c r="AY21" s="295" t="s">
        <v>39</v>
      </c>
      <c r="AZ21" s="963" t="s">
        <v>741</v>
      </c>
      <c r="BA21" s="323"/>
      <c r="BB21" s="295"/>
      <c r="BC21" s="964"/>
    </row>
    <row r="22" spans="1:55" s="229" customFormat="1" ht="180" customHeight="1" x14ac:dyDescent="0.25">
      <c r="A22" s="971"/>
      <c r="B22" s="972"/>
      <c r="C22" s="972"/>
      <c r="D22" s="972" t="s">
        <v>519</v>
      </c>
      <c r="E22" s="646" t="s">
        <v>218</v>
      </c>
      <c r="F22" s="646" t="s">
        <v>131</v>
      </c>
      <c r="G22" s="646" t="s">
        <v>311</v>
      </c>
      <c r="H22" s="972" t="s">
        <v>227</v>
      </c>
      <c r="I22" s="973" t="s">
        <v>615</v>
      </c>
      <c r="J22" s="973"/>
      <c r="K22" s="633" t="s">
        <v>407</v>
      </c>
      <c r="L22" s="633" t="s">
        <v>643</v>
      </c>
      <c r="M22" s="633" t="s">
        <v>124</v>
      </c>
      <c r="N22" s="633" t="s">
        <v>414</v>
      </c>
      <c r="O22" s="974" t="s">
        <v>234</v>
      </c>
      <c r="P22" s="326">
        <v>5000</v>
      </c>
      <c r="Q22" s="327" t="str">
        <f t="shared" si="0"/>
        <v>Alta</v>
      </c>
      <c r="R22" s="328">
        <f t="shared" si="1"/>
        <v>0.8</v>
      </c>
      <c r="S22" s="975" t="s">
        <v>151</v>
      </c>
      <c r="T22" s="379" t="str">
        <f>IF(NOT(ISERROR(MATCH(S22,'[2]Tabla Impacto'!$B$221:$B$223,0))),'[2]Tabla Impacto'!$F$223&amp;"Por favor no seleccionar los criterios de impacto(Afectación Económica o presupuestal y Pérdida Reputacional)",S22)</f>
        <v xml:space="preserve">     El riesgo afecta la imagen de de la entidad con efecto publicitario sostenido a nivel de sector administrativo, nivel departamental o municipal</v>
      </c>
      <c r="U22" s="976" t="str">
        <f>IF(OR(T22='[10]Tabla Impacto'!$C$11,T22='[10]Tabla Impacto'!$D$11),"Leve",IF(OR(T22='[10]Tabla Impacto'!$C$12,T22='[10]Tabla Impacto'!$D$12),"Menor",IF(OR(T22='[10]Tabla Impacto'!$C$13,T22='[10]Tabla Impacto'!$D$13),"Moderado",IF(OR(T22='[10]Tabla Impacto'!$C$14,T22='[10]Tabla Impacto'!$D$14),"Mayor",IF(OR(T22='[10]Tabla Impacto'!$C$15,T22='[10]Tabla Impacto'!$D$15),"Catastrófico","")))))</f>
        <v>Mayor</v>
      </c>
      <c r="V22" s="379">
        <f>IF(U22="","",IF(U22="Leve",0.2,IF(U22="Menor",0.4,IF(U22="Moderado",0.6,IF(U22="Mayor",0.8,IF(U22="Catastrófico",1,))))))</f>
        <v>0.8</v>
      </c>
      <c r="W22" s="380" t="str">
        <f>IF(OR(AND(Q22="Muy Baja",U22="Leve"),AND(Q22="Muy Baja",U22="Menor"),AND(Q22="Baja",U22="Leve")),"Bajo",IF(OR(AND(Q22="Muy baja",U22="Moderado"),AND(Q22="Baja",U22="Menor"),AND(Q22="Baja",U22="Moderado"),AND(Q22="Media",U22="Leve"),AND(Q22="Media",U22="Menor"),AND(Q22="Media",U22="Moderado"),AND(Q22="Alta",U22="Leve"),AND(Q22="Alta",U22="Menor")),"Moderado",IF(OR(AND(Q22="Muy Baja",U22="Mayor"),AND(Q22="Baja",U22="Mayor"),AND(Q22="Media",U22="Mayor"),AND(Q22="Alta",U22="Moderado"),AND(Q22="Alta",U22="Mayor"),AND(Q22="Muy Alta",U22="Leve"),AND(Q22="Muy Alta",U22="Menor"),AND(Q22="Muy Alta",U22="Moderado"),AND(Q22="Muy Alta",U22="Mayor")),"Alto",IF(OR(AND(Q22="Muy Baja",U22="Catastrófico"),AND(Q22="Baja",U22="Catastrófico"),AND(Q22="Media",U22="Catastrófico"),AND(Q22="Alta",U22="Catastrófico"),AND(Q22="Muy Alta",U22="Catastrófico")),"Extremo",""))))</f>
        <v>Alto</v>
      </c>
      <c r="X22" s="329">
        <v>1</v>
      </c>
      <c r="Y22" s="330" t="s">
        <v>642</v>
      </c>
      <c r="Z22" s="326" t="s">
        <v>613</v>
      </c>
      <c r="AA22" s="332" t="str">
        <f t="shared" si="2"/>
        <v>Probabilidad</v>
      </c>
      <c r="AB22" s="333" t="s">
        <v>13</v>
      </c>
      <c r="AC22" s="333" t="s">
        <v>8</v>
      </c>
      <c r="AD22" s="328" t="str">
        <f t="shared" si="3"/>
        <v>40%</v>
      </c>
      <c r="AE22" s="333" t="s">
        <v>18</v>
      </c>
      <c r="AF22" s="333" t="s">
        <v>22</v>
      </c>
      <c r="AG22" s="333" t="s">
        <v>117</v>
      </c>
      <c r="AH22" s="326" t="s">
        <v>394</v>
      </c>
      <c r="AI22" s="359">
        <f>IFERROR(IF(AA22="Probabilidad",(R22-(+R22*AD22)),IF(AA22="Impacto",R22,"")),"")</f>
        <v>0.48</v>
      </c>
      <c r="AJ22" s="334" t="str">
        <f t="shared" si="4"/>
        <v>Media</v>
      </c>
      <c r="AK22" s="328">
        <f t="shared" si="5"/>
        <v>0.48</v>
      </c>
      <c r="AL22" s="334" t="str">
        <f t="shared" si="6"/>
        <v>Mayor</v>
      </c>
      <c r="AM22" s="328">
        <f t="shared" si="11"/>
        <v>0.8</v>
      </c>
      <c r="AN22" s="334" t="str">
        <f t="shared" si="7"/>
        <v>Alto</v>
      </c>
      <c r="AO22" s="333" t="s">
        <v>133</v>
      </c>
      <c r="AP22" s="638" t="s">
        <v>612</v>
      </c>
      <c r="AQ22" s="398" t="s">
        <v>611</v>
      </c>
      <c r="AR22" s="977" t="s">
        <v>391</v>
      </c>
      <c r="AS22" s="337">
        <v>45687</v>
      </c>
      <c r="AT22" s="337">
        <v>45777</v>
      </c>
      <c r="AU22" s="633" t="s">
        <v>641</v>
      </c>
      <c r="AV22" s="326" t="s">
        <v>39</v>
      </c>
      <c r="AW22" s="337">
        <v>45926</v>
      </c>
      <c r="AX22" s="953" t="s">
        <v>742</v>
      </c>
      <c r="AY22" s="326" t="s">
        <v>39</v>
      </c>
      <c r="AZ22" s="978" t="s">
        <v>746</v>
      </c>
      <c r="BA22" s="337"/>
      <c r="BB22" s="326"/>
      <c r="BC22" s="338"/>
    </row>
    <row r="23" spans="1:55" s="229" customFormat="1" ht="136.5" customHeight="1" x14ac:dyDescent="0.25">
      <c r="A23" s="979"/>
      <c r="B23" s="631"/>
      <c r="C23" s="631"/>
      <c r="D23" s="631"/>
      <c r="E23" s="598"/>
      <c r="F23" s="598"/>
      <c r="G23" s="598"/>
      <c r="H23" s="631"/>
      <c r="I23" s="318" t="s">
        <v>640</v>
      </c>
      <c r="J23" s="318"/>
      <c r="K23" s="634"/>
      <c r="L23" s="634"/>
      <c r="M23" s="634"/>
      <c r="N23" s="634"/>
      <c r="O23" s="636"/>
      <c r="P23" s="240">
        <v>5001</v>
      </c>
      <c r="Q23" s="314" t="str">
        <f t="shared" si="0"/>
        <v>Muy Alta</v>
      </c>
      <c r="R23" s="305">
        <f t="shared" si="1"/>
        <v>1</v>
      </c>
      <c r="S23" s="969" t="s">
        <v>151</v>
      </c>
      <c r="T23" s="381" t="str">
        <f>IF(NOT(ISERROR(MATCH(S23,'[2]Tabla Impacto'!$B$221:$B$223,0))),'[2]Tabla Impacto'!$F$223&amp;"Por favor no seleccionar los criterios de impacto(Afectación Económica o presupuestal y Pérdida Reputacional)",S23)</f>
        <v xml:space="preserve">     El riesgo afecta la imagen de de la entidad con efecto publicitario sostenido a nivel de sector administrativo, nivel departamental o municipal</v>
      </c>
      <c r="U23" s="970" t="str">
        <f>IF(OR(T23='[10]Tabla Impacto'!$C$11,T23='[10]Tabla Impacto'!$D$11),"Leve",IF(OR(T23='[10]Tabla Impacto'!$C$12,T23='[10]Tabla Impacto'!$D$12),"Menor",IF(OR(T23='[10]Tabla Impacto'!$C$13,T23='[10]Tabla Impacto'!$D$13),"Moderado",IF(OR(T23='[10]Tabla Impacto'!$C$14,T23='[10]Tabla Impacto'!$D$14),"Mayor",IF(OR(T23='[10]Tabla Impacto'!$C$15,T23='[10]Tabla Impacto'!$D$15),"Catastrófico","")))))</f>
        <v>Mayor</v>
      </c>
      <c r="V23" s="381">
        <f t="shared" ref="V23:V27" si="12">IF(U23="","",IF(U23="Leve",0.2,IF(U23="Menor",0.4,IF(U23="Moderado",0.6,IF(U23="Mayor",0.8,IF(U23="Catastrófico",1,))))))</f>
        <v>0.8</v>
      </c>
      <c r="W23" s="309" t="str">
        <f t="shared" ref="W23:W27" si="13">IF(OR(AND(Q23="Muy Baja",U23="Leve"),AND(Q23="Muy Baja",U23="Menor"),AND(Q23="Baja",U23="Leve")),"Bajo",IF(OR(AND(Q23="Muy baja",U23="Moderado"),AND(Q23="Baja",U23="Menor"),AND(Q23="Baja",U23="Moderado"),AND(Q23="Media",U23="Leve"),AND(Q23="Media",U23="Menor"),AND(Q23="Media",U23="Moderado"),AND(Q23="Alta",U23="Leve"),AND(Q23="Alta",U23="Menor")),"Moderado",IF(OR(AND(Q23="Muy Baja",U23="Mayor"),AND(Q23="Baja",U23="Mayor"),AND(Q23="Media",U23="Mayor"),AND(Q23="Alta",U23="Moderado"),AND(Q23="Alta",U23="Mayor"),AND(Q23="Muy Alta",U23="Leve"),AND(Q23="Muy Alta",U23="Menor"),AND(Q23="Muy Alta",U23="Moderado"),AND(Q23="Muy Alta",U23="Mayor")),"Alto",IF(OR(AND(Q23="Muy Baja",U23="Catastrófico"),AND(Q23="Baja",U23="Catastrófico"),AND(Q23="Media",U23="Catastrófico"),AND(Q23="Alta",U23="Catastrófico"),AND(Q23="Muy Alta",U23="Catastrófico")),"Extremo",""))))</f>
        <v>Alto</v>
      </c>
      <c r="X23" s="308">
        <v>2</v>
      </c>
      <c r="Y23" s="310" t="s">
        <v>639</v>
      </c>
      <c r="Z23" s="240" t="s">
        <v>638</v>
      </c>
      <c r="AA23" s="306" t="str">
        <f t="shared" si="2"/>
        <v>Probabilidad</v>
      </c>
      <c r="AB23" s="303" t="s">
        <v>13</v>
      </c>
      <c r="AC23" s="303" t="s">
        <v>8</v>
      </c>
      <c r="AD23" s="305" t="str">
        <f t="shared" si="3"/>
        <v>40%</v>
      </c>
      <c r="AE23" s="303" t="s">
        <v>18</v>
      </c>
      <c r="AF23" s="303" t="s">
        <v>22</v>
      </c>
      <c r="AG23" s="303" t="s">
        <v>117</v>
      </c>
      <c r="AH23" s="240" t="s">
        <v>394</v>
      </c>
      <c r="AI23" s="360">
        <f>IFERROR(IF(AND(AA22="Probabilidad",AA23="Probabilidad"),(AK22-(+AK22*AD23)),IF(AA23="Probabilidad",(S22-(+S22*AA23)),IF(AA23="Impacto",AK22,""))),"")</f>
        <v>0.28799999999999998</v>
      </c>
      <c r="AJ23" s="304" t="str">
        <f t="shared" si="4"/>
        <v>Baja</v>
      </c>
      <c r="AK23" s="305">
        <f t="shared" si="5"/>
        <v>0.28799999999999998</v>
      </c>
      <c r="AL23" s="304" t="str">
        <f t="shared" si="6"/>
        <v>Mayor</v>
      </c>
      <c r="AM23" s="305">
        <f t="shared" si="11"/>
        <v>0.8</v>
      </c>
      <c r="AN23" s="304" t="str">
        <f t="shared" si="7"/>
        <v>Alto</v>
      </c>
      <c r="AO23" s="303" t="s">
        <v>133</v>
      </c>
      <c r="AP23" s="639"/>
      <c r="AQ23" s="302" t="s">
        <v>637</v>
      </c>
      <c r="AR23" s="313" t="s">
        <v>391</v>
      </c>
      <c r="AS23" s="300">
        <v>45687</v>
      </c>
      <c r="AT23" s="300">
        <v>45777</v>
      </c>
      <c r="AU23" s="634"/>
      <c r="AV23" s="240" t="s">
        <v>39</v>
      </c>
      <c r="AW23" s="300">
        <v>45926</v>
      </c>
      <c r="AX23" s="947" t="s">
        <v>743</v>
      </c>
      <c r="AY23" s="240" t="s">
        <v>39</v>
      </c>
      <c r="AZ23" s="949" t="s">
        <v>747</v>
      </c>
      <c r="BA23" s="300"/>
      <c r="BB23" s="240"/>
      <c r="BC23" s="339"/>
    </row>
    <row r="24" spans="1:55" s="229" customFormat="1" ht="217.5" customHeight="1" x14ac:dyDescent="0.25">
      <c r="A24" s="979"/>
      <c r="B24" s="631"/>
      <c r="C24" s="631"/>
      <c r="D24" s="631"/>
      <c r="E24" s="598"/>
      <c r="F24" s="598"/>
      <c r="G24" s="598"/>
      <c r="H24" s="631"/>
      <c r="I24" s="310" t="s">
        <v>636</v>
      </c>
      <c r="J24" s="310"/>
      <c r="K24" s="634"/>
      <c r="L24" s="634"/>
      <c r="M24" s="634"/>
      <c r="N24" s="634"/>
      <c r="O24" s="636"/>
      <c r="P24" s="240">
        <v>500</v>
      </c>
      <c r="Q24" s="314" t="str">
        <f t="shared" si="0"/>
        <v>Media</v>
      </c>
      <c r="R24" s="305">
        <f t="shared" si="1"/>
        <v>0.6</v>
      </c>
      <c r="S24" s="969" t="s">
        <v>151</v>
      </c>
      <c r="T24" s="381" t="str">
        <f>IF(NOT(ISERROR(MATCH(S24,'[2]Tabla Impacto'!$B$221:$B$223,0))),'[2]Tabla Impacto'!$F$223&amp;"Por favor no seleccionar los criterios de impacto(Afectación Económica o presupuestal y Pérdida Reputacional)",S24)</f>
        <v xml:space="preserve">     El riesgo afecta la imagen de de la entidad con efecto publicitario sostenido a nivel de sector administrativo, nivel departamental o municipal</v>
      </c>
      <c r="U24" s="970" t="str">
        <f>IF(OR(T24='[10]Tabla Impacto'!$C$11,T24='[10]Tabla Impacto'!$D$11),"Leve",IF(OR(T24='[10]Tabla Impacto'!$C$12,T24='[10]Tabla Impacto'!$D$12),"Menor",IF(OR(T24='[10]Tabla Impacto'!$C$13,T24='[10]Tabla Impacto'!$D$13),"Moderado",IF(OR(T24='[10]Tabla Impacto'!$C$14,T24='[10]Tabla Impacto'!$D$14),"Mayor",IF(OR(T24='[10]Tabla Impacto'!$C$15,T24='[10]Tabla Impacto'!$D$15),"Catastrófico","")))))</f>
        <v>Mayor</v>
      </c>
      <c r="V24" s="381">
        <f t="shared" si="12"/>
        <v>0.8</v>
      </c>
      <c r="W24" s="309" t="str">
        <f t="shared" si="13"/>
        <v>Alto</v>
      </c>
      <c r="X24" s="308">
        <v>3</v>
      </c>
      <c r="Y24" s="310" t="s">
        <v>604</v>
      </c>
      <c r="Z24" s="240" t="s">
        <v>603</v>
      </c>
      <c r="AA24" s="306" t="str">
        <f t="shared" si="2"/>
        <v>Probabilidad</v>
      </c>
      <c r="AB24" s="303" t="s">
        <v>13</v>
      </c>
      <c r="AC24" s="303" t="s">
        <v>8</v>
      </c>
      <c r="AD24" s="305" t="str">
        <f t="shared" si="3"/>
        <v>40%</v>
      </c>
      <c r="AE24" s="303" t="s">
        <v>18</v>
      </c>
      <c r="AF24" s="303" t="s">
        <v>22</v>
      </c>
      <c r="AG24" s="303" t="s">
        <v>117</v>
      </c>
      <c r="AH24" s="240" t="s">
        <v>394</v>
      </c>
      <c r="AI24" s="360">
        <f>IFERROR(IF(AND(AA23="Probabilidad",AA24="Probabilidad"),(AK23-(+AK23*AD24)),IF(AA24="Probabilidad",(S23-(+S23*AA24)),IF(AA24="Impacto",AK23,""))),"")</f>
        <v>0.17279999999999998</v>
      </c>
      <c r="AJ24" s="304" t="str">
        <f t="shared" si="4"/>
        <v>Muy Baja</v>
      </c>
      <c r="AK24" s="305">
        <f t="shared" si="5"/>
        <v>0.17279999999999998</v>
      </c>
      <c r="AL24" s="304" t="str">
        <f t="shared" si="6"/>
        <v>Mayor</v>
      </c>
      <c r="AM24" s="305">
        <f t="shared" si="11"/>
        <v>0.8</v>
      </c>
      <c r="AN24" s="304" t="str">
        <f t="shared" si="7"/>
        <v>Alto</v>
      </c>
      <c r="AO24" s="303" t="s">
        <v>133</v>
      </c>
      <c r="AP24" s="639"/>
      <c r="AQ24" s="302" t="s">
        <v>602</v>
      </c>
      <c r="AR24" s="313" t="s">
        <v>391</v>
      </c>
      <c r="AS24" s="300">
        <v>45688</v>
      </c>
      <c r="AT24" s="300">
        <v>45777</v>
      </c>
      <c r="AU24" s="634"/>
      <c r="AV24" s="240" t="s">
        <v>39</v>
      </c>
      <c r="AW24" s="300">
        <v>45926</v>
      </c>
      <c r="AX24" s="947" t="s">
        <v>732</v>
      </c>
      <c r="AY24" s="240" t="s">
        <v>39</v>
      </c>
      <c r="AZ24" s="949" t="s">
        <v>733</v>
      </c>
      <c r="BA24" s="300"/>
      <c r="BB24" s="240"/>
      <c r="BC24" s="339"/>
    </row>
    <row r="25" spans="1:55" s="229" customFormat="1" ht="194.45" customHeight="1" x14ac:dyDescent="0.25">
      <c r="A25" s="979"/>
      <c r="B25" s="631"/>
      <c r="C25" s="631"/>
      <c r="D25" s="631"/>
      <c r="E25" s="598"/>
      <c r="F25" s="598"/>
      <c r="G25" s="598"/>
      <c r="H25" s="631"/>
      <c r="I25" s="318" t="s">
        <v>635</v>
      </c>
      <c r="J25" s="318"/>
      <c r="K25" s="634"/>
      <c r="L25" s="634"/>
      <c r="M25" s="634"/>
      <c r="N25" s="634"/>
      <c r="O25" s="636"/>
      <c r="P25" s="240">
        <v>500</v>
      </c>
      <c r="Q25" s="314" t="str">
        <f t="shared" si="0"/>
        <v>Media</v>
      </c>
      <c r="R25" s="305">
        <f t="shared" si="1"/>
        <v>0.6</v>
      </c>
      <c r="S25" s="969" t="s">
        <v>151</v>
      </c>
      <c r="T25" s="381" t="str">
        <f>IF(NOT(ISERROR(MATCH(S25,'[2]Tabla Impacto'!$B$221:$B$223,0))),'[2]Tabla Impacto'!$F$223&amp;"Por favor no seleccionar los criterios de impacto(Afectación Económica o presupuestal y Pérdida Reputacional)",S25)</f>
        <v xml:space="preserve">     El riesgo afecta la imagen de de la entidad con efecto publicitario sostenido a nivel de sector administrativo, nivel departamental o municipal</v>
      </c>
      <c r="U25" s="970" t="str">
        <f>IF(OR(T25='[10]Tabla Impacto'!$C$11,T25='[10]Tabla Impacto'!$D$11),"Leve",IF(OR(T25='[10]Tabla Impacto'!$C$12,T25='[10]Tabla Impacto'!$D$12),"Menor",IF(OR(T25='[10]Tabla Impacto'!$C$13,T25='[10]Tabla Impacto'!$D$13),"Moderado",IF(OR(T25='[10]Tabla Impacto'!$C$14,T25='[10]Tabla Impacto'!$D$14),"Mayor",IF(OR(T25='[10]Tabla Impacto'!$C$15,T25='[10]Tabla Impacto'!$D$15),"Catastrófico","")))))</f>
        <v>Mayor</v>
      </c>
      <c r="V25" s="381">
        <f t="shared" si="12"/>
        <v>0.8</v>
      </c>
      <c r="W25" s="309" t="str">
        <f t="shared" si="13"/>
        <v>Alto</v>
      </c>
      <c r="X25" s="308">
        <v>4</v>
      </c>
      <c r="Y25" s="310" t="s">
        <v>600</v>
      </c>
      <c r="Z25" s="240" t="s">
        <v>599</v>
      </c>
      <c r="AA25" s="306" t="str">
        <f t="shared" si="2"/>
        <v>Probabilidad</v>
      </c>
      <c r="AB25" s="303" t="s">
        <v>13</v>
      </c>
      <c r="AC25" s="303" t="s">
        <v>8</v>
      </c>
      <c r="AD25" s="305" t="str">
        <f t="shared" si="3"/>
        <v>40%</v>
      </c>
      <c r="AE25" s="303" t="s">
        <v>18</v>
      </c>
      <c r="AF25" s="303" t="s">
        <v>22</v>
      </c>
      <c r="AG25" s="303" t="s">
        <v>117</v>
      </c>
      <c r="AH25" s="240" t="s">
        <v>394</v>
      </c>
      <c r="AI25" s="360">
        <f>IFERROR(IF(AND(AA24="Probabilidad",AA25="Probabilidad"),(AK24-(+AK24*AD25)),IF(AA25="Probabilidad",(S24-(+S24*AA25)),IF(AA25="Impacto",AK24,""))),"")</f>
        <v>0.10367999999999998</v>
      </c>
      <c r="AJ25" s="304" t="str">
        <f t="shared" si="4"/>
        <v>Muy Baja</v>
      </c>
      <c r="AK25" s="305">
        <f t="shared" si="5"/>
        <v>0.10367999999999998</v>
      </c>
      <c r="AL25" s="304" t="str">
        <f t="shared" si="6"/>
        <v>Mayor</v>
      </c>
      <c r="AM25" s="305">
        <f t="shared" si="11"/>
        <v>0.8</v>
      </c>
      <c r="AN25" s="304" t="str">
        <f t="shared" si="7"/>
        <v>Alto</v>
      </c>
      <c r="AO25" s="303" t="s">
        <v>133</v>
      </c>
      <c r="AP25" s="639"/>
      <c r="AQ25" s="302" t="s">
        <v>598</v>
      </c>
      <c r="AR25" s="313" t="s">
        <v>391</v>
      </c>
      <c r="AS25" s="300">
        <v>45689</v>
      </c>
      <c r="AT25" s="300">
        <v>45777</v>
      </c>
      <c r="AU25" s="634"/>
      <c r="AV25" s="240" t="s">
        <v>39</v>
      </c>
      <c r="AW25" s="300">
        <v>45926</v>
      </c>
      <c r="AX25" s="947" t="s">
        <v>732</v>
      </c>
      <c r="AY25" s="240" t="s">
        <v>39</v>
      </c>
      <c r="AZ25" s="949" t="s">
        <v>733</v>
      </c>
      <c r="BA25" s="300"/>
      <c r="BB25" s="240"/>
      <c r="BC25" s="339"/>
    </row>
    <row r="26" spans="1:55" s="229" customFormat="1" ht="191.25" customHeight="1" x14ac:dyDescent="0.25">
      <c r="A26" s="979"/>
      <c r="B26" s="631"/>
      <c r="C26" s="631"/>
      <c r="D26" s="631"/>
      <c r="E26" s="598"/>
      <c r="F26" s="598"/>
      <c r="G26" s="598"/>
      <c r="H26" s="631"/>
      <c r="I26" s="318" t="s">
        <v>625</v>
      </c>
      <c r="J26" s="318"/>
      <c r="K26" s="634"/>
      <c r="L26" s="634"/>
      <c r="M26" s="634"/>
      <c r="N26" s="634"/>
      <c r="O26" s="636"/>
      <c r="P26" s="240">
        <v>500</v>
      </c>
      <c r="Q26" s="314" t="str">
        <f t="shared" si="0"/>
        <v>Media</v>
      </c>
      <c r="R26" s="305">
        <f t="shared" si="1"/>
        <v>0.6</v>
      </c>
      <c r="S26" s="969" t="s">
        <v>151</v>
      </c>
      <c r="T26" s="381" t="str">
        <f>IF(NOT(ISERROR(MATCH(S26,'[2]Tabla Impacto'!$B$221:$B$223,0))),'[2]Tabla Impacto'!$F$223&amp;"Por favor no seleccionar los criterios de impacto(Afectación Económica o presupuestal y Pérdida Reputacional)",S26)</f>
        <v xml:space="preserve">     El riesgo afecta la imagen de de la entidad con efecto publicitario sostenido a nivel de sector administrativo, nivel departamental o municipal</v>
      </c>
      <c r="U26" s="970" t="str">
        <f>IF(OR(T26='[10]Tabla Impacto'!$C$11,T26='[10]Tabla Impacto'!$D$11),"Leve",IF(OR(T26='[10]Tabla Impacto'!$C$12,T26='[10]Tabla Impacto'!$D$12),"Menor",IF(OR(T26='[10]Tabla Impacto'!$C$13,T26='[10]Tabla Impacto'!$D$13),"Moderado",IF(OR(T26='[10]Tabla Impacto'!$C$14,T26='[10]Tabla Impacto'!$D$14),"Mayor",IF(OR(T26='[10]Tabla Impacto'!$C$15,T26='[10]Tabla Impacto'!$D$15),"Catastrófico","")))))</f>
        <v>Mayor</v>
      </c>
      <c r="V26" s="381">
        <f t="shared" si="12"/>
        <v>0.8</v>
      </c>
      <c r="W26" s="309" t="str">
        <f t="shared" si="13"/>
        <v>Alto</v>
      </c>
      <c r="X26" s="308">
        <v>5</v>
      </c>
      <c r="Y26" s="310" t="s">
        <v>634</v>
      </c>
      <c r="Z26" s="240" t="s">
        <v>633</v>
      </c>
      <c r="AA26" s="306" t="s">
        <v>4</v>
      </c>
      <c r="AB26" s="303" t="s">
        <v>13</v>
      </c>
      <c r="AC26" s="303" t="s">
        <v>8</v>
      </c>
      <c r="AD26" s="305" t="str">
        <f t="shared" si="3"/>
        <v>40%</v>
      </c>
      <c r="AE26" s="303" t="s">
        <v>18</v>
      </c>
      <c r="AF26" s="303" t="s">
        <v>22</v>
      </c>
      <c r="AG26" s="303" t="s">
        <v>117</v>
      </c>
      <c r="AH26" s="240" t="s">
        <v>394</v>
      </c>
      <c r="AI26" s="360">
        <f>IFERROR(IF(AND(AA25="Probabilidad",AA26="Probabilidad"),(AK25-(+AK25*AD26)),IF(AA26="Probabilidad",(S25-(+S25*AA26)),IF(AA26="Impacto",AK25,""))),"")</f>
        <v>6.2207999999999986E-2</v>
      </c>
      <c r="AJ26" s="304" t="str">
        <f t="shared" si="4"/>
        <v>Muy Baja</v>
      </c>
      <c r="AK26" s="305">
        <f t="shared" si="5"/>
        <v>6.2207999999999986E-2</v>
      </c>
      <c r="AL26" s="304" t="str">
        <f t="shared" si="6"/>
        <v>Mayor</v>
      </c>
      <c r="AM26" s="305">
        <f t="shared" si="11"/>
        <v>0.8</v>
      </c>
      <c r="AN26" s="304" t="str">
        <f t="shared" si="7"/>
        <v>Alto</v>
      </c>
      <c r="AO26" s="303" t="s">
        <v>133</v>
      </c>
      <c r="AP26" s="639"/>
      <c r="AQ26" s="302" t="s">
        <v>632</v>
      </c>
      <c r="AR26" s="313" t="s">
        <v>391</v>
      </c>
      <c r="AS26" s="300">
        <v>45690</v>
      </c>
      <c r="AT26" s="300">
        <v>45777</v>
      </c>
      <c r="AU26" s="634"/>
      <c r="AV26" s="240" t="s">
        <v>39</v>
      </c>
      <c r="AW26" s="300">
        <v>45926</v>
      </c>
      <c r="AX26" s="947" t="s">
        <v>744</v>
      </c>
      <c r="AY26" s="240" t="s">
        <v>39</v>
      </c>
      <c r="AZ26" s="949" t="s">
        <v>748</v>
      </c>
      <c r="BA26" s="300"/>
      <c r="BB26" s="240"/>
      <c r="BC26" s="339"/>
    </row>
    <row r="27" spans="1:55" s="229" customFormat="1" ht="143.25" customHeight="1" thickBot="1" x14ac:dyDescent="0.3">
      <c r="A27" s="980"/>
      <c r="B27" s="981"/>
      <c r="C27" s="981"/>
      <c r="D27" s="632"/>
      <c r="E27" s="956"/>
      <c r="F27" s="956"/>
      <c r="G27" s="956"/>
      <c r="H27" s="632"/>
      <c r="I27" s="315" t="s">
        <v>631</v>
      </c>
      <c r="J27" s="315"/>
      <c r="K27" s="502"/>
      <c r="L27" s="502"/>
      <c r="M27" s="502"/>
      <c r="N27" s="502"/>
      <c r="O27" s="957"/>
      <c r="P27" s="295">
        <v>300</v>
      </c>
      <c r="Q27" s="348" t="str">
        <f t="shared" si="0"/>
        <v>Media</v>
      </c>
      <c r="R27" s="349">
        <f t="shared" si="1"/>
        <v>0.6</v>
      </c>
      <c r="S27" s="982" t="s">
        <v>151</v>
      </c>
      <c r="T27" s="958" t="str">
        <f>IF(NOT(ISERROR(MATCH(S27,'[2]Tabla Impacto'!$B$221:$B$223,0))),'[2]Tabla Impacto'!$F$223&amp;"Por favor no seleccionar los criterios de impacto(Afectación Económica o presupuestal y Pérdida Reputacional)",S27)</f>
        <v xml:space="preserve">     El riesgo afecta la imagen de de la entidad con efecto publicitario sostenido a nivel de sector administrativo, nivel departamental o municipal</v>
      </c>
      <c r="U27" s="983" t="str">
        <f>IF(OR(T27='[10]Tabla Impacto'!$C$11,T27='[10]Tabla Impacto'!$D$11),"Leve",IF(OR(T27='[10]Tabla Impacto'!$C$12,T27='[10]Tabla Impacto'!$D$12),"Menor",IF(OR(T27='[10]Tabla Impacto'!$C$13,T27='[10]Tabla Impacto'!$D$13),"Moderado",IF(OR(T27='[10]Tabla Impacto'!$C$14,T27='[10]Tabla Impacto'!$D$14),"Mayor",IF(OR(T27='[10]Tabla Impacto'!$C$15,T27='[10]Tabla Impacto'!$D$15),"Catastrófico","")))))</f>
        <v>Mayor</v>
      </c>
      <c r="V27" s="958">
        <f t="shared" si="12"/>
        <v>0.8</v>
      </c>
      <c r="W27" s="959" t="str">
        <f t="shared" si="13"/>
        <v>Alto</v>
      </c>
      <c r="X27" s="350">
        <v>6</v>
      </c>
      <c r="Y27" s="316" t="s">
        <v>630</v>
      </c>
      <c r="Z27" s="295" t="s">
        <v>629</v>
      </c>
      <c r="AA27" s="351" t="s">
        <v>4</v>
      </c>
      <c r="AB27" s="352" t="s">
        <v>13</v>
      </c>
      <c r="AC27" s="352" t="s">
        <v>8</v>
      </c>
      <c r="AD27" s="349" t="str">
        <f t="shared" si="3"/>
        <v>40%</v>
      </c>
      <c r="AE27" s="352" t="s">
        <v>18</v>
      </c>
      <c r="AF27" s="352" t="s">
        <v>22</v>
      </c>
      <c r="AG27" s="352" t="s">
        <v>117</v>
      </c>
      <c r="AH27" s="295" t="s">
        <v>394</v>
      </c>
      <c r="AI27" s="383">
        <f>IFERROR(IF(AND(AA26="Probabilidad",AA27="Probabilidad"),(AK26-(+AK26*AD27)),IF(AA27="Probabilidad",(S26-(+S26*AA27)),IF(AA27="Impacto",AK26,""))),"")</f>
        <v>3.7324799999999991E-2</v>
      </c>
      <c r="AJ27" s="353" t="str">
        <f t="shared" si="4"/>
        <v>Muy Baja</v>
      </c>
      <c r="AK27" s="349">
        <f t="shared" si="5"/>
        <v>3.7324799999999991E-2</v>
      </c>
      <c r="AL27" s="353" t="str">
        <f t="shared" si="6"/>
        <v>Mayor</v>
      </c>
      <c r="AM27" s="349">
        <f t="shared" si="11"/>
        <v>0.8</v>
      </c>
      <c r="AN27" s="353" t="str">
        <f t="shared" si="7"/>
        <v>Alto</v>
      </c>
      <c r="AO27" s="352" t="s">
        <v>133</v>
      </c>
      <c r="AP27" s="961"/>
      <c r="AQ27" s="354" t="s">
        <v>628</v>
      </c>
      <c r="AR27" s="355" t="s">
        <v>391</v>
      </c>
      <c r="AS27" s="323">
        <v>45691</v>
      </c>
      <c r="AT27" s="323">
        <v>45777</v>
      </c>
      <c r="AU27" s="502"/>
      <c r="AV27" s="295" t="s">
        <v>39</v>
      </c>
      <c r="AW27" s="323">
        <v>45926</v>
      </c>
      <c r="AX27" s="1017" t="s">
        <v>745</v>
      </c>
      <c r="AY27" s="295" t="s">
        <v>39</v>
      </c>
      <c r="AZ27" s="1018" t="s">
        <v>729</v>
      </c>
      <c r="BA27" s="323"/>
      <c r="BB27" s="295"/>
      <c r="BC27" s="964"/>
    </row>
    <row r="28" spans="1:55" s="365" customFormat="1" ht="278.25" customHeight="1" x14ac:dyDescent="0.2">
      <c r="A28" s="965"/>
      <c r="B28" s="966"/>
      <c r="C28" s="967"/>
      <c r="D28" s="621" t="s">
        <v>520</v>
      </c>
      <c r="E28" s="622" t="s">
        <v>218</v>
      </c>
      <c r="F28" s="622" t="s">
        <v>131</v>
      </c>
      <c r="G28" s="622" t="s">
        <v>311</v>
      </c>
      <c r="H28" s="622" t="s">
        <v>227</v>
      </c>
      <c r="I28" s="629" t="s">
        <v>683</v>
      </c>
      <c r="J28" s="362"/>
      <c r="K28" s="592" t="s">
        <v>416</v>
      </c>
      <c r="L28" s="592" t="s">
        <v>415</v>
      </c>
      <c r="M28" s="592" t="s">
        <v>124</v>
      </c>
      <c r="N28" s="592" t="s">
        <v>414</v>
      </c>
      <c r="O28" s="619" t="s">
        <v>234</v>
      </c>
      <c r="P28" s="592">
        <v>600</v>
      </c>
      <c r="Q28" s="615" t="str">
        <f t="shared" si="0"/>
        <v>Alta</v>
      </c>
      <c r="R28" s="601">
        <f t="shared" si="1"/>
        <v>0.8</v>
      </c>
      <c r="S28" s="611" t="s">
        <v>152</v>
      </c>
      <c r="T28" s="601" t="str">
        <f>IF(NOT(ISERROR(MATCH(S28,'[2]Tabla Impacto'!$B$221:$B$223,0))),'[2]Tabla Impacto'!$F$223&amp;"Por favor no seleccionar los criterios de impacto(Afectación Económica o presupuestal y Pérdida Reputacional)",S28)</f>
        <v xml:space="preserve">     El riesgo afecta la imagen de la entidad a nivel nacional, con efecto publicitarios sostenible a nivel país</v>
      </c>
      <c r="U28" s="613" t="str">
        <f>IF(OR(T28='[10]Tabla Impacto'!$C$11,T28='[10]Tabla Impacto'!$D$11),"Leve",IF(OR(T28='[10]Tabla Impacto'!$C$12,T28='[10]Tabla Impacto'!$D$12),"Menor",IF(OR(T28='[10]Tabla Impacto'!$C$13,T28='[10]Tabla Impacto'!$D$13),"Moderado",IF(OR(T28='[10]Tabla Impacto'!$C$14,T28='[10]Tabla Impacto'!$D$14),"Mayor",IF(OR(T28='[10]Tabla Impacto'!$C$15,T28='[10]Tabla Impacto'!$D$15),"Catastrófico","")))))</f>
        <v>Catastrófico</v>
      </c>
      <c r="V28" s="384">
        <f>IF(U28="","",IF(U28="Leve",0.2,IF(U28="Menor",0.4,IF(U28="Moderado",0.6,IF(U28="Mayor",0.8,IF(U28="Catastrófico",1,))))))</f>
        <v>1</v>
      </c>
      <c r="W28" s="615" t="str">
        <f>IF(OR(AND(Q28="Muy Baja",U28="Leve"),AND(Q28="Muy Baja",U28="Menor"),AND(Q28="Baja",U28="Leve")),"Bajo",IF(OR(AND(Q28="Muy baja",U28="Moderado"),AND(Q28="Baja",U28="Menor"),AND(Q28="Baja",U28="Moderado"),AND(Q28="Media",U28="Leve"),AND(Q28="Media",U28="Menor"),AND(Q28="Media",U28="Moderado"),AND(Q28="Alta",U28="Leve"),AND(Q28="Alta",U28="Menor")),"Moderado",IF(OR(AND(Q28="Muy Baja",U28="Mayor"),AND(Q28="Baja",U28="Mayor"),AND(Q28="Media",U28="Mayor"),AND(Q28="Alta",U28="Moderado"),AND(Q28="Alta",U28="Mayor"),AND(Q28="Muy Alta",U28="Leve"),AND(Q28="Muy Alta",U28="Menor"),AND(Q28="Muy Alta",U28="Moderado"),AND(Q28="Muy Alta",U28="Mayor")),"Alto",IF(OR(AND(Q28="Muy Baja",U28="Catastrófico"),AND(Q28="Baja",U28="Catastrófico"),AND(Q28="Media",U28="Catastrófico"),AND(Q28="Alta",U28="Catastrófico"),AND(Q28="Muy Alta",U28="Catastrófico")),"Extremo",""))))</f>
        <v>Extremo</v>
      </c>
      <c r="X28" s="617">
        <v>1</v>
      </c>
      <c r="Y28" s="592" t="s">
        <v>627</v>
      </c>
      <c r="Z28" s="592" t="s">
        <v>412</v>
      </c>
      <c r="AA28" s="609" t="str">
        <f t="shared" si="2"/>
        <v>Probabilidad</v>
      </c>
      <c r="AB28" s="603" t="s">
        <v>13</v>
      </c>
      <c r="AC28" s="603" t="s">
        <v>8</v>
      </c>
      <c r="AD28" s="603" t="str">
        <f t="shared" si="3"/>
        <v>40%</v>
      </c>
      <c r="AE28" s="603" t="s">
        <v>18</v>
      </c>
      <c r="AF28" s="603" t="s">
        <v>21</v>
      </c>
      <c r="AG28" s="603" t="s">
        <v>117</v>
      </c>
      <c r="AH28" s="603" t="s">
        <v>394</v>
      </c>
      <c r="AI28" s="607">
        <f>IFERROR(IF(AA28="Probabilidad",(R28-(+R28*AD28)),IF(AA28="Impacto",R28,"")),"")</f>
        <v>0.48</v>
      </c>
      <c r="AJ28" s="599" t="str">
        <f t="shared" si="4"/>
        <v>Media</v>
      </c>
      <c r="AK28" s="601">
        <f>+AI28</f>
        <v>0.48</v>
      </c>
      <c r="AL28" s="599" t="str">
        <f t="shared" si="6"/>
        <v>Catastrófico</v>
      </c>
      <c r="AM28" s="601">
        <f t="shared" si="11"/>
        <v>1</v>
      </c>
      <c r="AN28" s="599" t="str">
        <f t="shared" si="7"/>
        <v>Extremo</v>
      </c>
      <c r="AO28" s="603" t="s">
        <v>133</v>
      </c>
      <c r="AP28" s="605" t="s">
        <v>612</v>
      </c>
      <c r="AQ28" s="605" t="s">
        <v>411</v>
      </c>
      <c r="AR28" s="336" t="s">
        <v>391</v>
      </c>
      <c r="AS28" s="590">
        <v>45687</v>
      </c>
      <c r="AT28" s="590">
        <v>45777</v>
      </c>
      <c r="AU28" s="592" t="s">
        <v>626</v>
      </c>
      <c r="AV28" s="592" t="s">
        <v>39</v>
      </c>
      <c r="AW28" s="337">
        <v>45926</v>
      </c>
      <c r="AX28" s="984" t="s">
        <v>731</v>
      </c>
      <c r="AY28" s="326" t="s">
        <v>39</v>
      </c>
      <c r="AZ28" s="985" t="s">
        <v>752</v>
      </c>
      <c r="BA28" s="363"/>
      <c r="BB28" s="331"/>
      <c r="BC28" s="364"/>
    </row>
    <row r="29" spans="1:55" s="365" customFormat="1" ht="136.9" customHeight="1" x14ac:dyDescent="0.2">
      <c r="A29" s="623"/>
      <c r="B29" s="624"/>
      <c r="C29" s="625"/>
      <c r="D29" s="623"/>
      <c r="E29" s="624"/>
      <c r="F29" s="624"/>
      <c r="G29" s="624"/>
      <c r="H29" s="624"/>
      <c r="I29" s="630"/>
      <c r="J29" s="366"/>
      <c r="K29" s="593"/>
      <c r="L29" s="593"/>
      <c r="M29" s="593"/>
      <c r="N29" s="593"/>
      <c r="O29" s="620"/>
      <c r="P29" s="593"/>
      <c r="Q29" s="616"/>
      <c r="R29" s="602"/>
      <c r="S29" s="612"/>
      <c r="T29" s="602"/>
      <c r="U29" s="614"/>
      <c r="V29" s="385" t="str">
        <f t="shared" ref="V29:V33" si="14">IF(U29="","",IF(U29="Leve",0.2,IF(U29="Menor",0.4,IF(U29="Moderado",0.6,IF(U29="Mayor",0.8,IF(U29="Catastrófico",1,))))))</f>
        <v/>
      </c>
      <c r="W29" s="616"/>
      <c r="X29" s="618"/>
      <c r="Y29" s="593"/>
      <c r="Z29" s="593"/>
      <c r="AA29" s="610"/>
      <c r="AB29" s="604"/>
      <c r="AC29" s="604" t="s">
        <v>8</v>
      </c>
      <c r="AD29" s="604" t="str">
        <f t="shared" si="3"/>
        <v/>
      </c>
      <c r="AE29" s="604" t="s">
        <v>18</v>
      </c>
      <c r="AF29" s="604" t="s">
        <v>21</v>
      </c>
      <c r="AG29" s="604" t="s">
        <v>117</v>
      </c>
      <c r="AH29" s="604" t="s">
        <v>394</v>
      </c>
      <c r="AI29" s="608"/>
      <c r="AJ29" s="600"/>
      <c r="AK29" s="602"/>
      <c r="AL29" s="600"/>
      <c r="AM29" s="602"/>
      <c r="AN29" s="600"/>
      <c r="AO29" s="604"/>
      <c r="AP29" s="606"/>
      <c r="AQ29" s="606"/>
      <c r="AR29" s="319"/>
      <c r="AS29" s="591"/>
      <c r="AT29" s="591"/>
      <c r="AU29" s="593"/>
      <c r="AV29" s="593"/>
      <c r="AW29" s="300">
        <v>45926</v>
      </c>
      <c r="AX29" s="946" t="s">
        <v>749</v>
      </c>
      <c r="AY29" s="240" t="s">
        <v>39</v>
      </c>
      <c r="AZ29" s="950" t="s">
        <v>753</v>
      </c>
      <c r="BA29" s="367"/>
      <c r="BB29" s="312"/>
      <c r="BC29" s="368"/>
    </row>
    <row r="30" spans="1:55" s="365" customFormat="1" ht="186.75" customHeight="1" x14ac:dyDescent="0.25">
      <c r="A30" s="623"/>
      <c r="B30" s="624"/>
      <c r="C30" s="625"/>
      <c r="D30" s="623"/>
      <c r="E30" s="624"/>
      <c r="F30" s="624"/>
      <c r="G30" s="624"/>
      <c r="H30" s="624"/>
      <c r="I30" s="369" t="s">
        <v>684</v>
      </c>
      <c r="J30" s="369"/>
      <c r="K30" s="593"/>
      <c r="L30" s="593"/>
      <c r="M30" s="593"/>
      <c r="N30" s="593"/>
      <c r="O30" s="620"/>
      <c r="P30" s="312">
        <v>500</v>
      </c>
      <c r="Q30" s="370" t="str">
        <f t="shared" si="0"/>
        <v>Media</v>
      </c>
      <c r="R30" s="371">
        <f t="shared" si="1"/>
        <v>0.6</v>
      </c>
      <c r="S30" s="377" t="s">
        <v>152</v>
      </c>
      <c r="T30" s="385" t="str">
        <f>IF(NOT(ISERROR(MATCH(S30,'[2]Tabla Impacto'!$B$221:$B$223,0))),'[2]Tabla Impacto'!$F$223&amp;"Por favor no seleccionar los criterios de impacto(Afectación Económica o presupuestal y Pérdida Reputacional)",S30)</f>
        <v xml:space="preserve">     El riesgo afecta la imagen de la entidad a nivel nacional, con efecto publicitarios sostenible a nivel país</v>
      </c>
      <c r="U30" s="386" t="str">
        <f>IF(OR(T30='[10]Tabla Impacto'!$C$11,T30='[10]Tabla Impacto'!$D$11),"Leve",IF(OR(T30='[10]Tabla Impacto'!$C$12,T30='[10]Tabla Impacto'!$D$12),"Menor",IF(OR(T30='[10]Tabla Impacto'!$C$13,T30='[10]Tabla Impacto'!$D$13),"Moderado",IF(OR(T30='[10]Tabla Impacto'!$C$14,T30='[10]Tabla Impacto'!$D$14),"Mayor",IF(OR(T30='[10]Tabla Impacto'!$C$15,T30='[10]Tabla Impacto'!$D$15),"Catastrófico","")))))</f>
        <v>Catastrófico</v>
      </c>
      <c r="V30" s="385">
        <f t="shared" si="14"/>
        <v>1</v>
      </c>
      <c r="W30" s="370" t="str">
        <f t="shared" ref="W30:W33" si="15">IF(OR(AND(Q30="Muy Baja",U30="Leve"),AND(Q30="Muy Baja",U30="Menor"),AND(Q30="Baja",U30="Leve")),"Bajo",IF(OR(AND(Q30="Muy baja",U30="Moderado"),AND(Q30="Baja",U30="Menor"),AND(Q30="Baja",U30="Moderado"),AND(Q30="Media",U30="Leve"),AND(Q30="Media",U30="Menor"),AND(Q30="Media",U30="Moderado"),AND(Q30="Alta",U30="Leve"),AND(Q30="Alta",U30="Menor")),"Moderado",IF(OR(AND(Q30="Muy Baja",U30="Mayor"),AND(Q30="Baja",U30="Mayor"),AND(Q30="Media",U30="Mayor"),AND(Q30="Alta",U30="Moderado"),AND(Q30="Alta",U30="Mayor"),AND(Q30="Muy Alta",U30="Leve"),AND(Q30="Muy Alta",U30="Menor"),AND(Q30="Muy Alta",U30="Moderado"),AND(Q30="Muy Alta",U30="Mayor")),"Alto",IF(OR(AND(Q30="Muy Baja",U30="Catastrófico"),AND(Q30="Baja",U30="Catastrófico"),AND(Q30="Media",U30="Catastrófico"),AND(Q30="Alta",U30="Catastrófico"),AND(Q30="Muy Alta",U30="Catastrófico")),"Extremo",""))))</f>
        <v>Extremo</v>
      </c>
      <c r="X30" s="372">
        <v>2</v>
      </c>
      <c r="Y30" s="369" t="s">
        <v>410</v>
      </c>
      <c r="Z30" s="312" t="s">
        <v>623</v>
      </c>
      <c r="AA30" s="373" t="str">
        <f t="shared" si="2"/>
        <v>Probabilidad</v>
      </c>
      <c r="AB30" s="374" t="s">
        <v>13</v>
      </c>
      <c r="AC30" s="374" t="s">
        <v>8</v>
      </c>
      <c r="AD30" s="371" t="str">
        <f t="shared" si="3"/>
        <v>40%</v>
      </c>
      <c r="AE30" s="374" t="s">
        <v>18</v>
      </c>
      <c r="AF30" s="374" t="s">
        <v>21</v>
      </c>
      <c r="AG30" s="374" t="s">
        <v>117</v>
      </c>
      <c r="AH30" s="312" t="s">
        <v>394</v>
      </c>
      <c r="AI30" s="375">
        <v>0.12</v>
      </c>
      <c r="AJ30" s="376" t="str">
        <f t="shared" si="4"/>
        <v>Muy Baja</v>
      </c>
      <c r="AK30" s="371">
        <f t="shared" si="5"/>
        <v>0.12</v>
      </c>
      <c r="AL30" s="376" t="str">
        <f t="shared" si="6"/>
        <v>Catastrófico</v>
      </c>
      <c r="AM30" s="371">
        <f t="shared" si="11"/>
        <v>1</v>
      </c>
      <c r="AN30" s="376" t="str">
        <f t="shared" si="7"/>
        <v>Extremo</v>
      </c>
      <c r="AO30" s="374" t="s">
        <v>133</v>
      </c>
      <c r="AP30" s="606"/>
      <c r="AQ30" s="311" t="s">
        <v>409</v>
      </c>
      <c r="AR30" s="319" t="s">
        <v>391</v>
      </c>
      <c r="AS30" s="367">
        <v>45687</v>
      </c>
      <c r="AT30" s="367">
        <v>45777</v>
      </c>
      <c r="AU30" s="593"/>
      <c r="AV30" s="312" t="s">
        <v>39</v>
      </c>
      <c r="AW30" s="300">
        <v>45926</v>
      </c>
      <c r="AX30" s="946" t="s">
        <v>744</v>
      </c>
      <c r="AY30" s="240" t="s">
        <v>39</v>
      </c>
      <c r="AZ30" s="950" t="s">
        <v>748</v>
      </c>
      <c r="BA30" s="367"/>
      <c r="BB30" s="312"/>
      <c r="BC30" s="368"/>
    </row>
    <row r="31" spans="1:55" s="365" customFormat="1" ht="142.5" customHeight="1" x14ac:dyDescent="0.25">
      <c r="A31" s="623"/>
      <c r="B31" s="624"/>
      <c r="C31" s="625"/>
      <c r="D31" s="623"/>
      <c r="E31" s="624"/>
      <c r="F31" s="624"/>
      <c r="G31" s="624"/>
      <c r="H31" s="624"/>
      <c r="I31" s="369" t="s">
        <v>685</v>
      </c>
      <c r="J31" s="369"/>
      <c r="K31" s="593"/>
      <c r="L31" s="593"/>
      <c r="M31" s="593"/>
      <c r="N31" s="593"/>
      <c r="O31" s="620"/>
      <c r="P31" s="312">
        <v>5000</v>
      </c>
      <c r="Q31" s="370" t="str">
        <f t="shared" si="0"/>
        <v>Alta</v>
      </c>
      <c r="R31" s="371">
        <f t="shared" si="1"/>
        <v>0.8</v>
      </c>
      <c r="S31" s="377" t="s">
        <v>152</v>
      </c>
      <c r="T31" s="385" t="str">
        <f>IF(NOT(ISERROR(MATCH(S31,'[2]Tabla Impacto'!$B$221:$B$223,0))),'[2]Tabla Impacto'!$F$223&amp;"Por favor no seleccionar los criterios de impacto(Afectación Económica o presupuestal y Pérdida Reputacional)",S31)</f>
        <v xml:space="preserve">     El riesgo afecta la imagen de la entidad a nivel nacional, con efecto publicitarios sostenible a nivel país</v>
      </c>
      <c r="U31" s="386" t="str">
        <f>IF(OR(T31='[10]Tabla Impacto'!$C$11,T31='[10]Tabla Impacto'!$D$11),"Leve",IF(OR(T31='[10]Tabla Impacto'!$C$12,T31='[10]Tabla Impacto'!$D$12),"Menor",IF(OR(T31='[10]Tabla Impacto'!$C$13,T31='[10]Tabla Impacto'!$D$13),"Moderado",IF(OR(T31='[10]Tabla Impacto'!$C$14,T31='[10]Tabla Impacto'!$D$14),"Mayor",IF(OR(T31='[10]Tabla Impacto'!$C$15,T31='[10]Tabla Impacto'!$D$15),"Catastrófico","")))))</f>
        <v>Catastrófico</v>
      </c>
      <c r="V31" s="385">
        <f t="shared" si="14"/>
        <v>1</v>
      </c>
      <c r="W31" s="370" t="str">
        <f t="shared" si="15"/>
        <v>Extremo</v>
      </c>
      <c r="X31" s="372">
        <v>3</v>
      </c>
      <c r="Y31" s="320" t="s">
        <v>624</v>
      </c>
      <c r="Z31" s="312" t="s">
        <v>623</v>
      </c>
      <c r="AA31" s="373" t="str">
        <f t="shared" si="2"/>
        <v>Probabilidad</v>
      </c>
      <c r="AB31" s="374" t="s">
        <v>13</v>
      </c>
      <c r="AC31" s="374" t="s">
        <v>8</v>
      </c>
      <c r="AD31" s="371" t="str">
        <f t="shared" si="3"/>
        <v>40%</v>
      </c>
      <c r="AE31" s="374" t="s">
        <v>18</v>
      </c>
      <c r="AF31" s="374" t="s">
        <v>21</v>
      </c>
      <c r="AG31" s="374" t="s">
        <v>117</v>
      </c>
      <c r="AH31" s="312" t="s">
        <v>394</v>
      </c>
      <c r="AI31" s="375">
        <v>0.12</v>
      </c>
      <c r="AJ31" s="376" t="str">
        <f t="shared" si="4"/>
        <v>Muy Baja</v>
      </c>
      <c r="AK31" s="371">
        <f t="shared" si="5"/>
        <v>0.12</v>
      </c>
      <c r="AL31" s="376" t="str">
        <f t="shared" si="6"/>
        <v>Catastrófico</v>
      </c>
      <c r="AM31" s="371">
        <f t="shared" si="11"/>
        <v>1</v>
      </c>
      <c r="AN31" s="376" t="str">
        <f t="shared" si="7"/>
        <v>Extremo</v>
      </c>
      <c r="AO31" s="374" t="s">
        <v>133</v>
      </c>
      <c r="AP31" s="606"/>
      <c r="AQ31" s="311" t="s">
        <v>622</v>
      </c>
      <c r="AR31" s="319" t="s">
        <v>391</v>
      </c>
      <c r="AS31" s="367">
        <v>45687</v>
      </c>
      <c r="AT31" s="367">
        <v>45777</v>
      </c>
      <c r="AU31" s="593"/>
      <c r="AV31" s="312" t="s">
        <v>39</v>
      </c>
      <c r="AW31" s="300">
        <v>45926</v>
      </c>
      <c r="AX31" s="946" t="s">
        <v>750</v>
      </c>
      <c r="AY31" s="240" t="s">
        <v>39</v>
      </c>
      <c r="AZ31" s="950" t="s">
        <v>733</v>
      </c>
      <c r="BA31" s="367"/>
      <c r="BB31" s="312"/>
      <c r="BC31" s="368"/>
    </row>
    <row r="32" spans="1:55" s="365" customFormat="1" ht="123" customHeight="1" x14ac:dyDescent="0.25">
      <c r="A32" s="623"/>
      <c r="B32" s="624"/>
      <c r="C32" s="625"/>
      <c r="D32" s="623"/>
      <c r="E32" s="624"/>
      <c r="F32" s="624"/>
      <c r="G32" s="624"/>
      <c r="H32" s="624"/>
      <c r="I32" s="369" t="s">
        <v>686</v>
      </c>
      <c r="J32" s="369"/>
      <c r="K32" s="593"/>
      <c r="L32" s="593"/>
      <c r="M32" s="593"/>
      <c r="N32" s="593"/>
      <c r="O32" s="620"/>
      <c r="P32" s="312">
        <v>501</v>
      </c>
      <c r="Q32" s="370" t="str">
        <f t="shared" si="0"/>
        <v>Alta</v>
      </c>
      <c r="R32" s="371">
        <f t="shared" si="1"/>
        <v>0.8</v>
      </c>
      <c r="S32" s="377" t="s">
        <v>152</v>
      </c>
      <c r="T32" s="385" t="str">
        <f>IF(NOT(ISERROR(MATCH(S32,'[2]Tabla Impacto'!$B$221:$B$223,0))),'[2]Tabla Impacto'!$F$223&amp;"Por favor no seleccionar los criterios de impacto(Afectación Económica o presupuestal y Pérdida Reputacional)",S32)</f>
        <v xml:space="preserve">     El riesgo afecta la imagen de la entidad a nivel nacional, con efecto publicitarios sostenible a nivel país</v>
      </c>
      <c r="U32" s="386" t="str">
        <f>IF(OR(T32='[10]Tabla Impacto'!$C$11,T32='[10]Tabla Impacto'!$D$11),"Leve",IF(OR(T32='[10]Tabla Impacto'!$C$12,T32='[10]Tabla Impacto'!$D$12),"Menor",IF(OR(T32='[10]Tabla Impacto'!$C$13,T32='[10]Tabla Impacto'!$D$13),"Moderado",IF(OR(T32='[10]Tabla Impacto'!$C$14,T32='[10]Tabla Impacto'!$D$14),"Mayor",IF(OR(T32='[10]Tabla Impacto'!$C$15,T32='[10]Tabla Impacto'!$D$15),"Catastrófico","")))))</f>
        <v>Catastrófico</v>
      </c>
      <c r="V32" s="385">
        <f t="shared" si="14"/>
        <v>1</v>
      </c>
      <c r="W32" s="370" t="str">
        <f t="shared" si="15"/>
        <v>Extremo</v>
      </c>
      <c r="X32" s="372">
        <v>4</v>
      </c>
      <c r="Y32" s="320" t="s">
        <v>621</v>
      </c>
      <c r="Z32" s="312" t="s">
        <v>620</v>
      </c>
      <c r="AA32" s="373" t="str">
        <f t="shared" si="2"/>
        <v>Probabilidad</v>
      </c>
      <c r="AB32" s="374" t="s">
        <v>13</v>
      </c>
      <c r="AC32" s="374" t="s">
        <v>8</v>
      </c>
      <c r="AD32" s="371" t="str">
        <f t="shared" si="3"/>
        <v>40%</v>
      </c>
      <c r="AE32" s="374" t="s">
        <v>18</v>
      </c>
      <c r="AF32" s="374" t="s">
        <v>21</v>
      </c>
      <c r="AG32" s="374" t="s">
        <v>117</v>
      </c>
      <c r="AH32" s="312" t="s">
        <v>394</v>
      </c>
      <c r="AI32" s="375">
        <v>0.12</v>
      </c>
      <c r="AJ32" s="376" t="str">
        <f t="shared" si="4"/>
        <v>Muy Baja</v>
      </c>
      <c r="AK32" s="371">
        <f t="shared" si="5"/>
        <v>0.12</v>
      </c>
      <c r="AL32" s="376" t="str">
        <f t="shared" si="6"/>
        <v>Catastrófico</v>
      </c>
      <c r="AM32" s="371">
        <f t="shared" si="11"/>
        <v>1</v>
      </c>
      <c r="AN32" s="376" t="str">
        <f t="shared" si="7"/>
        <v>Extremo</v>
      </c>
      <c r="AO32" s="374" t="s">
        <v>133</v>
      </c>
      <c r="AP32" s="606"/>
      <c r="AQ32" s="311" t="s">
        <v>619</v>
      </c>
      <c r="AR32" s="319" t="s">
        <v>391</v>
      </c>
      <c r="AS32" s="367">
        <v>45687</v>
      </c>
      <c r="AT32" s="367">
        <v>45777</v>
      </c>
      <c r="AU32" s="593"/>
      <c r="AV32" s="312" t="s">
        <v>39</v>
      </c>
      <c r="AW32" s="300">
        <v>45926</v>
      </c>
      <c r="AX32" s="946" t="s">
        <v>751</v>
      </c>
      <c r="AY32" s="240" t="s">
        <v>39</v>
      </c>
      <c r="AZ32" s="950" t="s">
        <v>729</v>
      </c>
      <c r="BA32" s="367"/>
      <c r="BB32" s="312"/>
      <c r="BC32" s="368"/>
    </row>
    <row r="33" spans="1:55" s="365" customFormat="1" ht="181.5" customHeight="1" thickBot="1" x14ac:dyDescent="0.3">
      <c r="A33" s="626"/>
      <c r="B33" s="627"/>
      <c r="C33" s="628"/>
      <c r="D33" s="986"/>
      <c r="E33" s="987"/>
      <c r="F33" s="987"/>
      <c r="G33" s="987"/>
      <c r="H33" s="987"/>
      <c r="I33" s="988" t="s">
        <v>687</v>
      </c>
      <c r="J33" s="988"/>
      <c r="K33" s="989"/>
      <c r="L33" s="989"/>
      <c r="M33" s="989"/>
      <c r="N33" s="989"/>
      <c r="O33" s="990"/>
      <c r="P33" s="960">
        <v>300</v>
      </c>
      <c r="Q33" s="991" t="str">
        <f t="shared" si="0"/>
        <v>Media</v>
      </c>
      <c r="R33" s="992">
        <f t="shared" si="1"/>
        <v>0.6</v>
      </c>
      <c r="S33" s="993" t="s">
        <v>152</v>
      </c>
      <c r="T33" s="994" t="str">
        <f>IF(NOT(ISERROR(MATCH(S33,'[2]Tabla Impacto'!$B$221:$B$223,0))),'[2]Tabla Impacto'!$F$223&amp;"Por favor no seleccionar los criterios de impacto(Afectación Económica o presupuestal y Pérdida Reputacional)",S33)</f>
        <v xml:space="preserve">     El riesgo afecta la imagen de la entidad a nivel nacional, con efecto publicitarios sostenible a nivel país</v>
      </c>
      <c r="U33" s="995" t="str">
        <f>IF(OR(T33='[10]Tabla Impacto'!$C$11,T33='[10]Tabla Impacto'!$D$11),"Leve",IF(OR(T33='[10]Tabla Impacto'!$C$12,T33='[10]Tabla Impacto'!$D$12),"Menor",IF(OR(T33='[10]Tabla Impacto'!$C$13,T33='[10]Tabla Impacto'!$D$13),"Moderado",IF(OR(T33='[10]Tabla Impacto'!$C$14,T33='[10]Tabla Impacto'!$D$14),"Mayor",IF(OR(T33='[10]Tabla Impacto'!$C$15,T33='[10]Tabla Impacto'!$D$15),"Catastrófico","")))))</f>
        <v>Catastrófico</v>
      </c>
      <c r="V33" s="994">
        <f t="shared" si="14"/>
        <v>1</v>
      </c>
      <c r="W33" s="991" t="str">
        <f t="shared" si="15"/>
        <v>Extremo</v>
      </c>
      <c r="X33" s="996">
        <v>5</v>
      </c>
      <c r="Y33" s="988" t="s">
        <v>618</v>
      </c>
      <c r="Z33" s="960" t="s">
        <v>617</v>
      </c>
      <c r="AA33" s="997" t="str">
        <f t="shared" si="2"/>
        <v>Probabilidad</v>
      </c>
      <c r="AB33" s="998" t="s">
        <v>13</v>
      </c>
      <c r="AC33" s="998" t="s">
        <v>8</v>
      </c>
      <c r="AD33" s="992" t="str">
        <f t="shared" si="3"/>
        <v>40%</v>
      </c>
      <c r="AE33" s="998" t="s">
        <v>18</v>
      </c>
      <c r="AF33" s="998" t="s">
        <v>21</v>
      </c>
      <c r="AG33" s="998" t="s">
        <v>117</v>
      </c>
      <c r="AH33" s="960" t="s">
        <v>394</v>
      </c>
      <c r="AI33" s="999">
        <v>0.12</v>
      </c>
      <c r="AJ33" s="1000" t="str">
        <f t="shared" si="4"/>
        <v>Muy Baja</v>
      </c>
      <c r="AK33" s="992">
        <f t="shared" si="5"/>
        <v>0.12</v>
      </c>
      <c r="AL33" s="1000" t="str">
        <f t="shared" si="6"/>
        <v>Catastrófico</v>
      </c>
      <c r="AM33" s="992">
        <f t="shared" si="11"/>
        <v>1</v>
      </c>
      <c r="AN33" s="1000" t="str">
        <f t="shared" si="7"/>
        <v>Extremo</v>
      </c>
      <c r="AO33" s="998" t="s">
        <v>133</v>
      </c>
      <c r="AP33" s="1001"/>
      <c r="AQ33" s="962" t="s">
        <v>616</v>
      </c>
      <c r="AR33" s="301" t="s">
        <v>391</v>
      </c>
      <c r="AS33" s="1002">
        <v>45687</v>
      </c>
      <c r="AT33" s="1002">
        <v>45777</v>
      </c>
      <c r="AU33" s="989"/>
      <c r="AV33" s="960" t="s">
        <v>39</v>
      </c>
      <c r="AW33" s="323">
        <v>45926</v>
      </c>
      <c r="AX33" s="960"/>
      <c r="AY33" s="295" t="s">
        <v>39</v>
      </c>
      <c r="AZ33" s="960"/>
      <c r="BA33" s="1002"/>
      <c r="BB33" s="960"/>
      <c r="BC33" s="1003"/>
    </row>
    <row r="34" spans="1:55" s="229" customFormat="1" ht="228" customHeight="1" x14ac:dyDescent="0.25">
      <c r="A34" s="594"/>
      <c r="B34" s="595"/>
      <c r="C34" s="595"/>
      <c r="D34" s="643" t="s">
        <v>521</v>
      </c>
      <c r="E34" s="646" t="s">
        <v>218</v>
      </c>
      <c r="F34" s="646" t="s">
        <v>131</v>
      </c>
      <c r="G34" s="646" t="s">
        <v>311</v>
      </c>
      <c r="H34" s="646" t="s">
        <v>227</v>
      </c>
      <c r="I34" s="973" t="s">
        <v>615</v>
      </c>
      <c r="J34" s="973"/>
      <c r="K34" s="633" t="s">
        <v>407</v>
      </c>
      <c r="L34" s="633" t="s">
        <v>406</v>
      </c>
      <c r="M34" s="633" t="s">
        <v>124</v>
      </c>
      <c r="N34" s="633" t="s">
        <v>405</v>
      </c>
      <c r="O34" s="974" t="s">
        <v>236</v>
      </c>
      <c r="P34" s="326">
        <v>300</v>
      </c>
      <c r="Q34" s="380" t="str">
        <f t="shared" si="0"/>
        <v>Media</v>
      </c>
      <c r="R34" s="328">
        <f t="shared" si="1"/>
        <v>0.6</v>
      </c>
      <c r="S34" s="378" t="s">
        <v>151</v>
      </c>
      <c r="T34" s="1007" t="str">
        <f>IF(NOT(ISERROR(MATCH(S34,'Tabla Impacto'!$B$221:$B$223,0))),'Tabla Impacto'!$F$223&amp;"Por favor no seleccionar los criterios de impacto(Afectación Económica o presupuestal y Pérdida Reputacional)",S34)</f>
        <v xml:space="preserve">     El riesgo afecta la imagen de de la entidad con efecto publicitario sostenido a nivel de sector administrativo, nivel departamental o municipal</v>
      </c>
      <c r="U34" s="1008" t="str">
        <f>IF(OR(T34='[4]Tabla Impacto'!$C$11,T34='[4]Tabla Impacto'!$D$11),"Leve",IF(OR(T34='[4]Tabla Impacto'!$C$12,T34='[4]Tabla Impacto'!$D$12),"Menor",IF(OR(T34='[4]Tabla Impacto'!$C$13,T34='[4]Tabla Impacto'!$D$13),"Moderado",IF(OR(T34='[4]Tabla Impacto'!$C$14,T34='[4]Tabla Impacto'!$D$14),"Mayor",IF(OR(T34='[4]Tabla Impacto'!$C$15,T34='[4]Tabla Impacto'!$D$15),"Catastrófico","")))))</f>
        <v>Mayor</v>
      </c>
      <c r="V34" s="1009">
        <f>IF(U34="","",IF(U34="Leve",0.2,IF(U34="Menor",0.4,IF(U34="Moderado",0.6,IF(U34="Mayor",0.8,IF(U34="Catastrófico",1,))))))</f>
        <v>0.8</v>
      </c>
      <c r="W34" s="1008" t="str">
        <f>IF(OR(AND(Q34="Muy Baja",U34="Leve"),AND(Q34="Muy Baja",U34="Menor"),AND(Q34="Baja",U34="Leve")),"Bajo",IF(OR(AND(Q34="Muy baja",U34="Moderado"),AND(Q34="Baja",U34="Menor"),AND(Q34="Baja",U34="Moderado"),AND(Q34="Media",U34="Leve"),AND(Q34="Media",U34="Menor"),AND(Q34="Media",U34="Moderado"),AND(Q34="Alta",U34="Leve"),AND(Q34="Alta",U34="Menor")),"Moderado",IF(OR(AND(Q34="Muy Baja",U34="Mayor"),AND(Q34="Baja",U34="Mayor"),AND(Q34="Media",U34="Mayor"),AND(Q34="Alta",U34="Moderado"),AND(Q34="Alta",U34="Mayor"),AND(Q34="Muy Alta",U34="Leve"),AND(Q34="Muy Alta",U34="Menor"),AND(Q34="Muy Alta",U34="Moderado"),AND(Q34="Muy Alta",U34="Mayor")),"Alto",IF(OR(AND(Q34="Muy Baja",U34="Catastrófico"),AND(Q34="Baja",U34="Catastrófico"),AND(Q34="Media",U34="Catastrófico"),AND(Q34="Alta",U34="Catastrófico"),AND(Q34="Muy Alta",U34="Catastrófico")),"Extremo",""))))</f>
        <v>Alto</v>
      </c>
      <c r="X34" s="329">
        <v>1</v>
      </c>
      <c r="Y34" s="330" t="s">
        <v>614</v>
      </c>
      <c r="Z34" s="326" t="s">
        <v>613</v>
      </c>
      <c r="AA34" s="332" t="s">
        <v>4</v>
      </c>
      <c r="AB34" s="333" t="s">
        <v>13</v>
      </c>
      <c r="AC34" s="333" t="s">
        <v>8</v>
      </c>
      <c r="AD34" s="328" t="str">
        <f t="shared" si="3"/>
        <v>40%</v>
      </c>
      <c r="AE34" s="333" t="s">
        <v>18</v>
      </c>
      <c r="AF34" s="333" t="s">
        <v>21</v>
      </c>
      <c r="AG34" s="333" t="s">
        <v>117</v>
      </c>
      <c r="AH34" s="326" t="s">
        <v>394</v>
      </c>
      <c r="AI34" s="359">
        <f>IFERROR(IF(AA34="Probabilidad",(R34-(+R34*AD34)),IF(AA34="Impacto",R34,"")),"")</f>
        <v>0.36</v>
      </c>
      <c r="AJ34" s="334" t="str">
        <f t="shared" si="4"/>
        <v>Baja</v>
      </c>
      <c r="AK34" s="328">
        <f t="shared" si="5"/>
        <v>0.36</v>
      </c>
      <c r="AL34" s="334" t="str">
        <f t="shared" si="6"/>
        <v>Mayor</v>
      </c>
      <c r="AM34" s="328">
        <f t="shared" si="11"/>
        <v>0.8</v>
      </c>
      <c r="AN34" s="334" t="str">
        <f t="shared" si="7"/>
        <v>Alto</v>
      </c>
      <c r="AO34" s="333" t="s">
        <v>133</v>
      </c>
      <c r="AP34" s="638" t="s">
        <v>612</v>
      </c>
      <c r="AQ34" s="398" t="s">
        <v>611</v>
      </c>
      <c r="AR34" s="336" t="s">
        <v>391</v>
      </c>
      <c r="AS34" s="337">
        <v>45687</v>
      </c>
      <c r="AT34" s="337">
        <v>45777</v>
      </c>
      <c r="AU34" s="633" t="s">
        <v>610</v>
      </c>
      <c r="AV34" s="326" t="s">
        <v>39</v>
      </c>
      <c r="AW34" s="337">
        <v>45926</v>
      </c>
      <c r="AX34" s="984" t="s">
        <v>754</v>
      </c>
      <c r="AY34" s="326" t="s">
        <v>39</v>
      </c>
      <c r="AZ34" s="978" t="s">
        <v>746</v>
      </c>
      <c r="BA34" s="337"/>
      <c r="BB34" s="326"/>
      <c r="BC34" s="338"/>
    </row>
    <row r="35" spans="1:55" s="229" customFormat="1" ht="196.9" customHeight="1" x14ac:dyDescent="0.25">
      <c r="A35" s="594"/>
      <c r="B35" s="595"/>
      <c r="C35" s="595"/>
      <c r="D35" s="644"/>
      <c r="E35" s="598"/>
      <c r="F35" s="598"/>
      <c r="G35" s="598"/>
      <c r="H35" s="598"/>
      <c r="I35" s="968" t="s">
        <v>609</v>
      </c>
      <c r="J35" s="968"/>
      <c r="K35" s="634"/>
      <c r="L35" s="634"/>
      <c r="M35" s="634"/>
      <c r="N35" s="634"/>
      <c r="O35" s="636"/>
      <c r="P35" s="240">
        <v>300</v>
      </c>
      <c r="Q35" s="309" t="str">
        <f t="shared" si="0"/>
        <v>Media</v>
      </c>
      <c r="R35" s="305">
        <f t="shared" si="1"/>
        <v>0.6</v>
      </c>
      <c r="S35" s="299" t="s">
        <v>151</v>
      </c>
      <c r="T35" s="242" t="str">
        <f>IF(NOT(ISERROR(MATCH(S35,'Tabla Impacto'!$B$221:$B$223,0))),'Tabla Impacto'!$F$223&amp;"Por favor no seleccionar los criterios de impacto(Afectación Económica o presupuestal y Pérdida Reputacional)",S35)</f>
        <v xml:space="preserve">     El riesgo afecta la imagen de de la entidad con efecto publicitario sostenido a nivel de sector administrativo, nivel departamental o municipal</v>
      </c>
      <c r="U35" s="261" t="str">
        <f>IF(OR(T35='[4]Tabla Impacto'!$C$11,T35='[4]Tabla Impacto'!$D$11),"Leve",IF(OR(T35='[4]Tabla Impacto'!$C$12,T35='[4]Tabla Impacto'!$D$12),"Menor",IF(OR(T35='[4]Tabla Impacto'!$C$13,T35='[4]Tabla Impacto'!$D$13),"Moderado",IF(OR(T35='[4]Tabla Impacto'!$C$14,T35='[4]Tabla Impacto'!$D$14),"Mayor",IF(OR(T35='[4]Tabla Impacto'!$C$15,T35='[4]Tabla Impacto'!$D$15),"Catastrófico","")))))</f>
        <v>Mayor</v>
      </c>
      <c r="V35" s="189">
        <f>IF(U35="","",IF(U35="Leve",0.2,IF(U35="Menor",0.4,IF(U35="Moderado",0.6,IF(U35="Mayor",0.8,IF(U35="Catastrófico",1,))))))</f>
        <v>0.8</v>
      </c>
      <c r="W35" s="261" t="str">
        <f>IF(OR(AND(Q35="Muy Baja",U35="Leve"),AND(Q35="Muy Baja",U35="Menor"),AND(Q35="Baja",U35="Leve")),"Bajo",IF(OR(AND(Q35="Muy baja",U35="Moderado"),AND(Q35="Baja",U35="Menor"),AND(Q35="Baja",U35="Moderado"),AND(Q35="Media",U35="Leve"),AND(Q35="Media",U35="Menor"),AND(Q35="Media",U35="Moderado"),AND(Q35="Alta",U35="Leve"),AND(Q35="Alta",U35="Menor")),"Moderado",IF(OR(AND(Q35="Muy Baja",U35="Mayor"),AND(Q35="Baja",U35="Mayor"),AND(Q35="Media",U35="Mayor"),AND(Q35="Alta",U35="Moderado"),AND(Q35="Alta",U35="Mayor"),AND(Q35="Muy Alta",U35="Leve"),AND(Q35="Muy Alta",U35="Menor"),AND(Q35="Muy Alta",U35="Moderado"),AND(Q35="Muy Alta",U35="Mayor")),"Alto",IF(OR(AND(Q35="Muy Baja",U35="Catastrófico"),AND(Q35="Baja",U35="Catastrófico"),AND(Q35="Media",U35="Catastrófico"),AND(Q35="Alta",U35="Catastrófico"),AND(Q35="Muy Alta",U35="Catastrófico")),"Extremo",""))))</f>
        <v>Alto</v>
      </c>
      <c r="X35" s="308">
        <v>2</v>
      </c>
      <c r="Y35" s="310" t="s">
        <v>608</v>
      </c>
      <c r="Z35" s="312" t="s">
        <v>607</v>
      </c>
      <c r="AA35" s="306" t="s">
        <v>4</v>
      </c>
      <c r="AB35" s="303" t="s">
        <v>13</v>
      </c>
      <c r="AC35" s="303" t="s">
        <v>8</v>
      </c>
      <c r="AD35" s="305" t="str">
        <f t="shared" si="3"/>
        <v>40%</v>
      </c>
      <c r="AE35" s="303" t="s">
        <v>18</v>
      </c>
      <c r="AF35" s="303" t="s">
        <v>21</v>
      </c>
      <c r="AG35" s="303" t="s">
        <v>117</v>
      </c>
      <c r="AH35" s="240" t="s">
        <v>394</v>
      </c>
      <c r="AI35" s="360">
        <f>IFERROR(IF(AND(AA34="Probabilidad",AA35="Probabilidad"),(AK34-(+AK34*AD35)),IF(AA35="Probabilidad",(S34-(+S34*AA35)),IF(AA35="Impacto",AK34,""))),"")</f>
        <v>0.216</v>
      </c>
      <c r="AJ35" s="304" t="str">
        <f t="shared" si="4"/>
        <v>Baja</v>
      </c>
      <c r="AK35" s="305">
        <f t="shared" si="5"/>
        <v>0.216</v>
      </c>
      <c r="AL35" s="304" t="str">
        <f t="shared" si="6"/>
        <v>Mayor</v>
      </c>
      <c r="AM35" s="305">
        <f t="shared" si="11"/>
        <v>0.8</v>
      </c>
      <c r="AN35" s="304" t="str">
        <f t="shared" si="7"/>
        <v>Alto</v>
      </c>
      <c r="AO35" s="303" t="s">
        <v>133</v>
      </c>
      <c r="AP35" s="639"/>
      <c r="AQ35" s="311" t="s">
        <v>606</v>
      </c>
      <c r="AR35" s="319" t="s">
        <v>391</v>
      </c>
      <c r="AS35" s="300">
        <v>45687</v>
      </c>
      <c r="AT35" s="300">
        <v>45777</v>
      </c>
      <c r="AU35" s="634"/>
      <c r="AV35" s="240" t="s">
        <v>39</v>
      </c>
      <c r="AW35" s="300">
        <v>45926</v>
      </c>
      <c r="AX35" s="946" t="s">
        <v>736</v>
      </c>
      <c r="AY35" s="240" t="s">
        <v>39</v>
      </c>
      <c r="AZ35" s="949" t="s">
        <v>758</v>
      </c>
      <c r="BA35" s="300"/>
      <c r="BB35" s="240"/>
      <c r="BC35" s="339"/>
    </row>
    <row r="36" spans="1:55" s="229" customFormat="1" ht="178.15" customHeight="1" x14ac:dyDescent="0.25">
      <c r="A36" s="594"/>
      <c r="B36" s="595"/>
      <c r="C36" s="595"/>
      <c r="D36" s="644"/>
      <c r="E36" s="598"/>
      <c r="F36" s="598"/>
      <c r="G36" s="598"/>
      <c r="H36" s="598"/>
      <c r="I36" s="307" t="s">
        <v>605</v>
      </c>
      <c r="J36" s="307"/>
      <c r="K36" s="634"/>
      <c r="L36" s="634"/>
      <c r="M36" s="634"/>
      <c r="N36" s="634"/>
      <c r="O36" s="636"/>
      <c r="P36" s="240">
        <v>300</v>
      </c>
      <c r="Q36" s="309" t="str">
        <f t="shared" si="0"/>
        <v>Media</v>
      </c>
      <c r="R36" s="305">
        <f t="shared" si="1"/>
        <v>0.6</v>
      </c>
      <c r="S36" s="299" t="s">
        <v>151</v>
      </c>
      <c r="T36" s="242" t="str">
        <f>IF(NOT(ISERROR(MATCH(S36,'Tabla Impacto'!$B$221:$B$223,0))),'Tabla Impacto'!$F$223&amp;"Por favor no seleccionar los criterios de impacto(Afectación Económica o presupuestal y Pérdida Reputacional)",S36)</f>
        <v xml:space="preserve">     El riesgo afecta la imagen de de la entidad con efecto publicitario sostenido a nivel de sector administrativo, nivel departamental o municipal</v>
      </c>
      <c r="U36" s="261" t="str">
        <f>IF(OR(T36='[4]Tabla Impacto'!$C$11,T36='[4]Tabla Impacto'!$D$11),"Leve",IF(OR(T36='[4]Tabla Impacto'!$C$12,T36='[4]Tabla Impacto'!$D$12),"Menor",IF(OR(T36='[4]Tabla Impacto'!$C$13,T36='[4]Tabla Impacto'!$D$13),"Moderado",IF(OR(T36='[4]Tabla Impacto'!$C$14,T36='[4]Tabla Impacto'!$D$14),"Mayor",IF(OR(T36='[4]Tabla Impacto'!$C$15,T36='[4]Tabla Impacto'!$D$15),"Catastrófico","")))))</f>
        <v>Mayor</v>
      </c>
      <c r="V36" s="189">
        <f>IF(U36="","",IF(U36="Leve",0.2,IF(U36="Menor",0.4,IF(U36="Moderado",0.6,IF(U36="Mayor",0.8,IF(U36="Catastrófico",1,))))))</f>
        <v>0.8</v>
      </c>
      <c r="W36" s="261" t="str">
        <f>IF(OR(AND(Q36="Muy Baja",U36="Leve"),AND(Q36="Muy Baja",U36="Menor"),AND(Q36="Baja",U36="Leve")),"Bajo",IF(OR(AND(Q36="Muy baja",U36="Moderado"),AND(Q36="Baja",U36="Menor"),AND(Q36="Baja",U36="Moderado"),AND(Q36="Media",U36="Leve"),AND(Q36="Media",U36="Menor"),AND(Q36="Media",U36="Moderado"),AND(Q36="Alta",U36="Leve"),AND(Q36="Alta",U36="Menor")),"Moderado",IF(OR(AND(Q36="Muy Baja",U36="Mayor"),AND(Q36="Baja",U36="Mayor"),AND(Q36="Media",U36="Mayor"),AND(Q36="Alta",U36="Moderado"),AND(Q36="Alta",U36="Mayor"),AND(Q36="Muy Alta",U36="Leve"),AND(Q36="Muy Alta",U36="Menor"),AND(Q36="Muy Alta",U36="Moderado"),AND(Q36="Muy Alta",U36="Mayor")),"Alto",IF(OR(AND(Q36="Muy Baja",U36="Catastrófico"),AND(Q36="Baja",U36="Catastrófico"),AND(Q36="Media",U36="Catastrófico"),AND(Q36="Alta",U36="Catastrófico"),AND(Q36="Muy Alta",U36="Catastrófico")),"Extremo",""))))</f>
        <v>Alto</v>
      </c>
      <c r="X36" s="308">
        <v>3</v>
      </c>
      <c r="Y36" s="310" t="s">
        <v>604</v>
      </c>
      <c r="Z36" s="240" t="s">
        <v>603</v>
      </c>
      <c r="AA36" s="306" t="s">
        <v>4</v>
      </c>
      <c r="AB36" s="303" t="s">
        <v>13</v>
      </c>
      <c r="AC36" s="303" t="s">
        <v>8</v>
      </c>
      <c r="AD36" s="305" t="str">
        <f t="shared" si="3"/>
        <v>40%</v>
      </c>
      <c r="AE36" s="303" t="s">
        <v>18</v>
      </c>
      <c r="AF36" s="303" t="s">
        <v>21</v>
      </c>
      <c r="AG36" s="303" t="s">
        <v>117</v>
      </c>
      <c r="AH36" s="240" t="s">
        <v>394</v>
      </c>
      <c r="AI36" s="360">
        <f>IFERROR(IF(AND(AA35="Probabilidad",AA36="Probabilidad"),(AK35-(+AK35*AD36)),IF(AA36="Probabilidad",(S35-(+S35*AA36)),IF(AA36="Impacto",AK35,""))),"")</f>
        <v>0.12959999999999999</v>
      </c>
      <c r="AJ36" s="304" t="str">
        <f t="shared" si="4"/>
        <v>Muy Baja</v>
      </c>
      <c r="AK36" s="305">
        <f t="shared" si="5"/>
        <v>0.12959999999999999</v>
      </c>
      <c r="AL36" s="304" t="str">
        <f t="shared" si="6"/>
        <v>Mayor</v>
      </c>
      <c r="AM36" s="305">
        <f t="shared" si="11"/>
        <v>0.8</v>
      </c>
      <c r="AN36" s="304" t="str">
        <f t="shared" si="7"/>
        <v>Alto</v>
      </c>
      <c r="AO36" s="303" t="s">
        <v>133</v>
      </c>
      <c r="AP36" s="639"/>
      <c r="AQ36" s="302" t="s">
        <v>602</v>
      </c>
      <c r="AR36" s="319" t="s">
        <v>391</v>
      </c>
      <c r="AS36" s="300">
        <v>45687</v>
      </c>
      <c r="AT36" s="300">
        <v>45777</v>
      </c>
      <c r="AU36" s="634"/>
      <c r="AV36" s="240" t="s">
        <v>39</v>
      </c>
      <c r="AW36" s="300">
        <v>45926</v>
      </c>
      <c r="AX36" s="946" t="s">
        <v>755</v>
      </c>
      <c r="AY36" s="240" t="s">
        <v>39</v>
      </c>
      <c r="AZ36" s="949" t="s">
        <v>758</v>
      </c>
      <c r="BA36" s="300"/>
      <c r="BB36" s="240"/>
      <c r="BC36" s="339"/>
    </row>
    <row r="37" spans="1:55" s="229" customFormat="1" ht="214.15" customHeight="1" x14ac:dyDescent="0.25">
      <c r="A37" s="594"/>
      <c r="B37" s="595"/>
      <c r="C37" s="595"/>
      <c r="D37" s="644"/>
      <c r="E37" s="598"/>
      <c r="F37" s="598"/>
      <c r="G37" s="598"/>
      <c r="H37" s="598"/>
      <c r="I37" s="307" t="s">
        <v>601</v>
      </c>
      <c r="J37" s="307"/>
      <c r="K37" s="634"/>
      <c r="L37" s="634"/>
      <c r="M37" s="634"/>
      <c r="N37" s="634"/>
      <c r="O37" s="636"/>
      <c r="P37" s="240">
        <v>300</v>
      </c>
      <c r="Q37" s="309" t="str">
        <f t="shared" si="0"/>
        <v>Media</v>
      </c>
      <c r="R37" s="305">
        <f t="shared" si="1"/>
        <v>0.6</v>
      </c>
      <c r="S37" s="299" t="s">
        <v>151</v>
      </c>
      <c r="T37" s="242" t="str">
        <f>IF(NOT(ISERROR(MATCH(S37,'Tabla Impacto'!$B$221:$B$223,0))),'Tabla Impacto'!$F$223&amp;"Por favor no seleccionar los criterios de impacto(Afectación Económica o presupuestal y Pérdida Reputacional)",S37)</f>
        <v xml:space="preserve">     El riesgo afecta la imagen de de la entidad con efecto publicitario sostenido a nivel de sector administrativo, nivel departamental o municipal</v>
      </c>
      <c r="U37" s="261" t="str">
        <f>IF(OR(T37='[4]Tabla Impacto'!$C$11,T37='[4]Tabla Impacto'!$D$11),"Leve",IF(OR(T37='[4]Tabla Impacto'!$C$12,T37='[4]Tabla Impacto'!$D$12),"Menor",IF(OR(T37='[4]Tabla Impacto'!$C$13,T37='[4]Tabla Impacto'!$D$13),"Moderado",IF(OR(T37='[4]Tabla Impacto'!$C$14,T37='[4]Tabla Impacto'!$D$14),"Mayor",IF(OR(T37='[4]Tabla Impacto'!$C$15,T37='[4]Tabla Impacto'!$D$15),"Catastrófico","")))))</f>
        <v>Mayor</v>
      </c>
      <c r="V37" s="189">
        <f>IF(U37="","",IF(U37="Leve",0.2,IF(U37="Menor",0.4,IF(U37="Moderado",0.6,IF(U37="Mayor",0.8,IF(U37="Catastrófico",1,))))))</f>
        <v>0.8</v>
      </c>
      <c r="W37" s="261" t="str">
        <f>IF(OR(AND(Q37="Muy Baja",U37="Leve"),AND(Q37="Muy Baja",U37="Menor"),AND(Q37="Baja",U37="Leve")),"Bajo",IF(OR(AND(Q37="Muy baja",U37="Moderado"),AND(Q37="Baja",U37="Menor"),AND(Q37="Baja",U37="Moderado"),AND(Q37="Media",U37="Leve"),AND(Q37="Media",U37="Menor"),AND(Q37="Media",U37="Moderado"),AND(Q37="Alta",U37="Leve"),AND(Q37="Alta",U37="Menor")),"Moderado",IF(OR(AND(Q37="Muy Baja",U37="Mayor"),AND(Q37="Baja",U37="Mayor"),AND(Q37="Media",U37="Mayor"),AND(Q37="Alta",U37="Moderado"),AND(Q37="Alta",U37="Mayor"),AND(Q37="Muy Alta",U37="Leve"),AND(Q37="Muy Alta",U37="Menor"),AND(Q37="Muy Alta",U37="Moderado"),AND(Q37="Muy Alta",U37="Mayor")),"Alto",IF(OR(AND(Q37="Muy Baja",U37="Catastrófico"),AND(Q37="Baja",U37="Catastrófico"),AND(Q37="Media",U37="Catastrófico"),AND(Q37="Alta",U37="Catastrófico"),AND(Q37="Muy Alta",U37="Catastrófico")),"Extremo",""))))</f>
        <v>Alto</v>
      </c>
      <c r="X37" s="308">
        <v>4</v>
      </c>
      <c r="Y37" s="310" t="s">
        <v>600</v>
      </c>
      <c r="Z37" s="240" t="s">
        <v>599</v>
      </c>
      <c r="AA37" s="306" t="s">
        <v>4</v>
      </c>
      <c r="AB37" s="303" t="s">
        <v>13</v>
      </c>
      <c r="AC37" s="303" t="s">
        <v>8</v>
      </c>
      <c r="AD37" s="305" t="str">
        <f t="shared" si="3"/>
        <v>40%</v>
      </c>
      <c r="AE37" s="303" t="s">
        <v>18</v>
      </c>
      <c r="AF37" s="303" t="s">
        <v>21</v>
      </c>
      <c r="AG37" s="303" t="s">
        <v>117</v>
      </c>
      <c r="AH37" s="240" t="s">
        <v>394</v>
      </c>
      <c r="AI37" s="360">
        <f>IFERROR(IF(AND(AA36="Probabilidad",AA37="Probabilidad"),(AK36-(+AK36*AD37)),IF(AA37="Probabilidad",(S36-(+S36*AA37)),IF(AA37="Impacto",AK36,""))),"")</f>
        <v>7.7759999999999996E-2</v>
      </c>
      <c r="AJ37" s="304" t="str">
        <f t="shared" si="4"/>
        <v>Muy Baja</v>
      </c>
      <c r="AK37" s="305">
        <f t="shared" si="5"/>
        <v>7.7759999999999996E-2</v>
      </c>
      <c r="AL37" s="304" t="str">
        <f t="shared" si="6"/>
        <v>Mayor</v>
      </c>
      <c r="AM37" s="305">
        <f t="shared" si="11"/>
        <v>0.8</v>
      </c>
      <c r="AN37" s="304" t="str">
        <f t="shared" si="7"/>
        <v>Alto</v>
      </c>
      <c r="AO37" s="303" t="s">
        <v>133</v>
      </c>
      <c r="AP37" s="639"/>
      <c r="AQ37" s="302" t="s">
        <v>598</v>
      </c>
      <c r="AR37" s="319" t="s">
        <v>391</v>
      </c>
      <c r="AS37" s="300">
        <v>45687</v>
      </c>
      <c r="AT37" s="300">
        <v>45777</v>
      </c>
      <c r="AU37" s="634"/>
      <c r="AV37" s="240" t="s">
        <v>39</v>
      </c>
      <c r="AW37" s="300">
        <v>45926</v>
      </c>
      <c r="AX37" s="946" t="s">
        <v>756</v>
      </c>
      <c r="AY37" s="240" t="s">
        <v>39</v>
      </c>
      <c r="AZ37" s="949" t="s">
        <v>733</v>
      </c>
      <c r="BA37" s="300"/>
      <c r="BB37" s="240"/>
      <c r="BC37" s="339"/>
    </row>
    <row r="38" spans="1:55" s="229" customFormat="1" ht="213" customHeight="1" thickBot="1" x14ac:dyDescent="0.3">
      <c r="A38" s="596"/>
      <c r="B38" s="597"/>
      <c r="C38" s="597"/>
      <c r="D38" s="645"/>
      <c r="E38" s="647"/>
      <c r="F38" s="647"/>
      <c r="G38" s="647"/>
      <c r="H38" s="647"/>
      <c r="I38" s="1010" t="s">
        <v>597</v>
      </c>
      <c r="J38" s="1010"/>
      <c r="K38" s="635"/>
      <c r="L38" s="635"/>
      <c r="M38" s="635"/>
      <c r="N38" s="635"/>
      <c r="O38" s="637"/>
      <c r="P38" s="340">
        <v>501</v>
      </c>
      <c r="Q38" s="356" t="str">
        <f t="shared" si="0"/>
        <v>Alta</v>
      </c>
      <c r="R38" s="341">
        <f t="shared" si="1"/>
        <v>0.8</v>
      </c>
      <c r="S38" s="382" t="s">
        <v>151</v>
      </c>
      <c r="T38" s="1011" t="str">
        <f>IF(NOT(ISERROR(MATCH(S38,'Tabla Impacto'!$B$221:$B$223,0))),'Tabla Impacto'!$F$223&amp;"Por favor no seleccionar los criterios de impacto(Afectación Económica o presupuestal y Pérdida Reputacional)",S38)</f>
        <v xml:space="preserve">     El riesgo afecta la imagen de de la entidad con efecto publicitario sostenido a nivel de sector administrativo, nivel departamental o municipal</v>
      </c>
      <c r="U38" s="1012" t="str">
        <f>IF(OR(T38='[4]Tabla Impacto'!$C$11,T38='[4]Tabla Impacto'!$D$11),"Leve",IF(OR(T38='[4]Tabla Impacto'!$C$12,T38='[4]Tabla Impacto'!$D$12),"Menor",IF(OR(T38='[4]Tabla Impacto'!$C$13,T38='[4]Tabla Impacto'!$D$13),"Moderado",IF(OR(T38='[4]Tabla Impacto'!$C$14,T38='[4]Tabla Impacto'!$D$14),"Mayor",IF(OR(T38='[4]Tabla Impacto'!$C$15,T38='[4]Tabla Impacto'!$D$15),"Catastrófico","")))))</f>
        <v>Mayor</v>
      </c>
      <c r="V38" s="1013">
        <f>IF(U38="","",IF(U38="Leve",0.2,IF(U38="Menor",0.4,IF(U38="Moderado",0.6,IF(U38="Mayor",0.8,IF(U38="Catastrófico",1,))))))</f>
        <v>0.8</v>
      </c>
      <c r="W38" s="1012" t="str">
        <f>IF(OR(AND(Q38="Muy Baja",U38="Leve"),AND(Q38="Muy Baja",U38="Menor"),AND(Q38="Baja",U38="Leve")),"Bajo",IF(OR(AND(Q38="Muy baja",U38="Moderado"),AND(Q38="Baja",U38="Menor"),AND(Q38="Baja",U38="Moderado"),AND(Q38="Media",U38="Leve"),AND(Q38="Media",U38="Menor"),AND(Q38="Media",U38="Moderado"),AND(Q38="Alta",U38="Leve"),AND(Q38="Alta",U38="Menor")),"Moderado",IF(OR(AND(Q38="Muy Baja",U38="Mayor"),AND(Q38="Baja",U38="Mayor"),AND(Q38="Media",U38="Mayor"),AND(Q38="Alta",U38="Moderado"),AND(Q38="Alta",U38="Mayor"),AND(Q38="Muy Alta",U38="Leve"),AND(Q38="Muy Alta",U38="Menor"),AND(Q38="Muy Alta",U38="Moderado"),AND(Q38="Muy Alta",U38="Mayor")),"Alto",IF(OR(AND(Q38="Muy Baja",U38="Catastrófico"),AND(Q38="Baja",U38="Catastrófico"),AND(Q38="Media",U38="Catastrófico"),AND(Q38="Alta",U38="Catastrófico"),AND(Q38="Muy Alta",U38="Catastrófico")),"Extremo",""))))</f>
        <v>Alto</v>
      </c>
      <c r="X38" s="342">
        <v>5</v>
      </c>
      <c r="Y38" s="1014" t="s">
        <v>596</v>
      </c>
      <c r="Z38" s="340" t="s">
        <v>595</v>
      </c>
      <c r="AA38" s="343" t="s">
        <v>4</v>
      </c>
      <c r="AB38" s="344" t="s">
        <v>13</v>
      </c>
      <c r="AC38" s="344" t="s">
        <v>8</v>
      </c>
      <c r="AD38" s="341" t="str">
        <f t="shared" si="3"/>
        <v>40%</v>
      </c>
      <c r="AE38" s="344" t="s">
        <v>18</v>
      </c>
      <c r="AF38" s="344" t="s">
        <v>21</v>
      </c>
      <c r="AG38" s="344" t="s">
        <v>117</v>
      </c>
      <c r="AH38" s="340" t="s">
        <v>394</v>
      </c>
      <c r="AI38" s="361">
        <f>IFERROR(IF(AND(AA37="Probabilidad",AA38="Probabilidad"),(AK37-(+AK37*AD38)),IF(AA38="Probabilidad",(S37-(+S37*AA38)),IF(AA38="Impacto",AK37,""))),"")</f>
        <v>4.6655999999999996E-2</v>
      </c>
      <c r="AJ38" s="345" t="str">
        <f t="shared" si="4"/>
        <v>Muy Baja</v>
      </c>
      <c r="AK38" s="341">
        <f t="shared" si="5"/>
        <v>4.6655999999999996E-2</v>
      </c>
      <c r="AL38" s="345" t="str">
        <f t="shared" si="6"/>
        <v>Mayor</v>
      </c>
      <c r="AM38" s="341">
        <f t="shared" si="11"/>
        <v>0.8</v>
      </c>
      <c r="AN38" s="345" t="str">
        <f t="shared" si="7"/>
        <v>Alto</v>
      </c>
      <c r="AO38" s="344" t="s">
        <v>133</v>
      </c>
      <c r="AP38" s="640"/>
      <c r="AQ38" s="399" t="s">
        <v>594</v>
      </c>
      <c r="AR38" s="357" t="s">
        <v>391</v>
      </c>
      <c r="AS38" s="346">
        <v>45687</v>
      </c>
      <c r="AT38" s="346">
        <v>45777</v>
      </c>
      <c r="AU38" s="635"/>
      <c r="AV38" s="340" t="s">
        <v>39</v>
      </c>
      <c r="AW38" s="346">
        <v>45926</v>
      </c>
      <c r="AX38" s="1015" t="s">
        <v>757</v>
      </c>
      <c r="AY38" s="340" t="s">
        <v>39</v>
      </c>
      <c r="AZ38" s="1016" t="s">
        <v>759</v>
      </c>
      <c r="BA38" s="346"/>
      <c r="BB38" s="340"/>
      <c r="BC38" s="347"/>
    </row>
    <row r="39" spans="1:55" ht="49.5" customHeight="1" x14ac:dyDescent="0.2">
      <c r="D39" s="387"/>
      <c r="E39" s="205"/>
      <c r="F39" s="205"/>
      <c r="G39" s="205"/>
      <c r="H39" s="205"/>
      <c r="I39" s="1004" t="s">
        <v>688</v>
      </c>
      <c r="J39" s="1004"/>
      <c r="K39" s="1004"/>
      <c r="L39" s="1004"/>
      <c r="M39" s="1004"/>
      <c r="N39" s="1004"/>
      <c r="O39" s="1004"/>
      <c r="P39" s="1004"/>
      <c r="Q39" s="1004"/>
      <c r="R39" s="1004"/>
      <c r="S39" s="1004"/>
      <c r="T39" s="1004"/>
      <c r="U39" s="1004"/>
      <c r="V39" s="1004"/>
      <c r="W39" s="1004"/>
      <c r="X39" s="1004"/>
      <c r="Y39" s="1004"/>
      <c r="Z39" s="1004"/>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5"/>
      <c r="AV39" s="1006"/>
    </row>
    <row r="41" spans="1:55" ht="15.75" x14ac:dyDescent="0.2">
      <c r="D41" s="110"/>
      <c r="E41" s="110"/>
      <c r="F41" s="110"/>
      <c r="G41" s="110"/>
      <c r="H41" s="110"/>
      <c r="I41" s="110"/>
      <c r="J41" s="110"/>
      <c r="K41" s="110"/>
      <c r="L41" s="110"/>
      <c r="M41" s="165"/>
      <c r="N41" s="165"/>
      <c r="O41" s="165"/>
      <c r="Q41" s="111"/>
      <c r="R41" s="110"/>
      <c r="S41" s="110"/>
      <c r="T41" s="110"/>
      <c r="U41" s="110"/>
      <c r="V41" s="110"/>
      <c r="W41" s="110"/>
      <c r="X41" s="110"/>
      <c r="Y41" s="110"/>
      <c r="Z41" s="110"/>
      <c r="AA41" s="112"/>
      <c r="AB41" s="112"/>
      <c r="AC41" s="110"/>
      <c r="AD41" s="110"/>
      <c r="AE41" s="110"/>
      <c r="AF41" s="110"/>
      <c r="AG41" s="110"/>
      <c r="AH41" s="110"/>
      <c r="AI41" s="110"/>
      <c r="AJ41" s="110"/>
      <c r="AK41" s="110"/>
      <c r="AL41" s="110"/>
      <c r="AM41" s="110"/>
      <c r="AN41" s="110"/>
      <c r="AO41" s="113"/>
      <c r="AP41" s="113"/>
      <c r="AQ41" s="113"/>
      <c r="AR41" s="110"/>
      <c r="AS41" s="110"/>
      <c r="AT41" s="110"/>
      <c r="AU41" s="110"/>
      <c r="AV41" s="110"/>
      <c r="AW41" s="110"/>
      <c r="AX41" s="110"/>
    </row>
    <row r="42" spans="1:55" ht="18" x14ac:dyDescent="0.2">
      <c r="D42" s="498" t="s">
        <v>593</v>
      </c>
      <c r="E42" s="498"/>
      <c r="F42" s="498"/>
      <c r="G42" s="498"/>
      <c r="H42" s="498"/>
      <c r="I42" s="498"/>
      <c r="J42" s="498"/>
      <c r="K42" s="498"/>
      <c r="L42" s="498"/>
      <c r="M42" s="165"/>
      <c r="N42" s="165"/>
      <c r="O42" s="165"/>
      <c r="P42" s="499" t="s">
        <v>592</v>
      </c>
      <c r="Q42" s="500"/>
      <c r="R42" s="500"/>
      <c r="S42" s="501"/>
      <c r="T42" s="110"/>
      <c r="U42" s="110"/>
      <c r="V42" s="110"/>
      <c r="W42" s="110"/>
      <c r="X42" s="110"/>
      <c r="Y42" s="110"/>
      <c r="Z42" s="113"/>
      <c r="AA42" s="112"/>
      <c r="AB42" s="112"/>
      <c r="AC42" s="110"/>
      <c r="AD42" s="112"/>
      <c r="AE42" s="112"/>
      <c r="AF42" s="110"/>
      <c r="AG42" s="110"/>
      <c r="AH42" s="110"/>
      <c r="AI42" s="110"/>
      <c r="AJ42" s="110"/>
      <c r="AK42" s="110"/>
      <c r="AL42" s="110"/>
      <c r="AM42" s="110"/>
      <c r="AN42" s="110"/>
      <c r="AO42" s="110"/>
      <c r="AP42" s="110"/>
      <c r="AQ42" s="110"/>
      <c r="AR42" s="110"/>
      <c r="AS42" s="110"/>
      <c r="AT42" s="110"/>
      <c r="AU42" s="110"/>
      <c r="AV42" s="110"/>
      <c r="AW42" s="110"/>
      <c r="AX42" s="110"/>
    </row>
    <row r="43" spans="1:55" ht="15" thickBot="1" x14ac:dyDescent="0.25">
      <c r="D43" s="165"/>
      <c r="E43" s="165"/>
      <c r="F43" s="165"/>
      <c r="G43" s="165"/>
      <c r="H43" s="165"/>
      <c r="I43" s="165"/>
      <c r="J43" s="165"/>
      <c r="K43" s="165"/>
      <c r="M43" s="165"/>
      <c r="N43" s="165"/>
      <c r="O43" s="165"/>
      <c r="Q43" s="167" t="str">
        <f>+IFERROR(VLOOKUP(M43,$M$198:$Q$202,3,FALSE)*VLOOKUP(P43,$P$198:$Q$202,3,FALSE),"")</f>
        <v/>
      </c>
      <c r="AA43" s="167"/>
      <c r="AB43" s="206"/>
      <c r="AD43" s="206"/>
      <c r="AE43" s="206"/>
      <c r="AF43" s="207"/>
      <c r="AG43" s="207"/>
      <c r="AH43" s="207"/>
      <c r="AI43" s="207"/>
      <c r="AJ43" s="207"/>
      <c r="AK43" s="114"/>
      <c r="AL43" s="114"/>
      <c r="AM43" s="207"/>
      <c r="AN43" s="208"/>
      <c r="AS43" s="207"/>
      <c r="AU43" s="207"/>
      <c r="AW43" s="207"/>
    </row>
    <row r="44" spans="1:55" ht="17.45" customHeight="1" thickTop="1" thickBot="1" x14ac:dyDescent="0.25">
      <c r="D44" s="483" t="s">
        <v>205</v>
      </c>
      <c r="E44" s="483"/>
      <c r="F44" s="483"/>
      <c r="G44" s="483"/>
      <c r="H44" s="483"/>
      <c r="I44" s="483"/>
      <c r="J44" s="483"/>
      <c r="K44" s="483"/>
      <c r="L44" s="164" t="s">
        <v>206</v>
      </c>
      <c r="M44" s="483" t="s">
        <v>207</v>
      </c>
      <c r="N44" s="483"/>
      <c r="O44" s="483"/>
      <c r="P44" s="483"/>
      <c r="Q44" s="483"/>
      <c r="R44" s="483"/>
      <c r="S44" s="483"/>
      <c r="T44" s="118"/>
      <c r="U44" s="484" t="s">
        <v>208</v>
      </c>
      <c r="V44" s="484"/>
      <c r="W44" s="484"/>
      <c r="X44" s="483" t="s">
        <v>209</v>
      </c>
      <c r="Y44" s="483"/>
      <c r="Z44" s="483"/>
      <c r="AA44" s="483"/>
      <c r="AB44" s="484">
        <v>1</v>
      </c>
      <c r="AC44" s="484"/>
      <c r="AD44" s="484"/>
      <c r="AE44" s="484"/>
      <c r="AF44" s="117"/>
      <c r="AG44" s="117"/>
      <c r="AH44" s="117"/>
      <c r="AI44" s="117"/>
      <c r="AJ44" s="117"/>
      <c r="AK44" s="117"/>
      <c r="AL44" s="117"/>
      <c r="AM44" s="117"/>
      <c r="AN44" s="117"/>
      <c r="AO44" s="117"/>
      <c r="AP44" s="117"/>
      <c r="AQ44" s="117"/>
      <c r="AR44" s="117"/>
      <c r="AS44" s="117"/>
      <c r="AT44" s="117"/>
      <c r="AU44" s="117"/>
      <c r="AV44" s="117"/>
      <c r="AW44" s="117"/>
      <c r="AX44" s="115"/>
    </row>
    <row r="45" spans="1:55" ht="42.6" customHeight="1" thickTop="1" x14ac:dyDescent="0.25">
      <c r="D45" s="485" t="s">
        <v>385</v>
      </c>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row>
  </sheetData>
  <autoFilter ref="A11:BC39" xr:uid="{00000000-0001-0000-0100-000000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8" showButton="0"/>
    <filterColumn colId="49" showButton="0"/>
    <filterColumn colId="50" showButton="0"/>
    <filterColumn colId="52" showButton="0"/>
    <filterColumn colId="53" showButton="0"/>
  </autoFilter>
  <dataConsolidate/>
  <mergeCells count="152">
    <mergeCell ref="D7:G7"/>
    <mergeCell ref="H7:BC7"/>
    <mergeCell ref="D8:G8"/>
    <mergeCell ref="H8:BC8"/>
    <mergeCell ref="D9:G9"/>
    <mergeCell ref="H9:BC9"/>
    <mergeCell ref="D2:H5"/>
    <mergeCell ref="L2:BA5"/>
    <mergeCell ref="BB2:BC2"/>
    <mergeCell ref="BB3:BC3"/>
    <mergeCell ref="BB4:BC4"/>
    <mergeCell ref="BB5:BC5"/>
    <mergeCell ref="A11:C11"/>
    <mergeCell ref="D11:AV11"/>
    <mergeCell ref="AW11:AZ11"/>
    <mergeCell ref="BA11:BC11"/>
    <mergeCell ref="D12:P12"/>
    <mergeCell ref="Q12:W12"/>
    <mergeCell ref="X12:AG12"/>
    <mergeCell ref="AH12:AH14"/>
    <mergeCell ref="AI12:AO12"/>
    <mergeCell ref="AQ12:BC12"/>
    <mergeCell ref="N13:O13"/>
    <mergeCell ref="P13:P14"/>
    <mergeCell ref="Q13:Q14"/>
    <mergeCell ref="R13:R14"/>
    <mergeCell ref="S13:S14"/>
    <mergeCell ref="T13:T14"/>
    <mergeCell ref="D13:D14"/>
    <mergeCell ref="E13:E14"/>
    <mergeCell ref="H13:H14"/>
    <mergeCell ref="I13:K13"/>
    <mergeCell ref="L13:L14"/>
    <mergeCell ref="M13:M14"/>
    <mergeCell ref="AB13:AG13"/>
    <mergeCell ref="AI13:AI14"/>
    <mergeCell ref="AJ13:AJ14"/>
    <mergeCell ref="AK13:AK14"/>
    <mergeCell ref="AL13:AL14"/>
    <mergeCell ref="U13:U14"/>
    <mergeCell ref="V13:V14"/>
    <mergeCell ref="W13:W14"/>
    <mergeCell ref="X13:X14"/>
    <mergeCell ref="Y13:Y14"/>
    <mergeCell ref="Z13:Z14"/>
    <mergeCell ref="AU15:AU21"/>
    <mergeCell ref="AZ13:AZ14"/>
    <mergeCell ref="BA13:BA14"/>
    <mergeCell ref="BB13:BB14"/>
    <mergeCell ref="BC13:BC14"/>
    <mergeCell ref="D15:D21"/>
    <mergeCell ref="E15:E21"/>
    <mergeCell ref="F15:F21"/>
    <mergeCell ref="G15:G21"/>
    <mergeCell ref="H15:H21"/>
    <mergeCell ref="K15:K21"/>
    <mergeCell ref="AT13:AT14"/>
    <mergeCell ref="AU13:AU14"/>
    <mergeCell ref="AV13:AV14"/>
    <mergeCell ref="AW13:AW14"/>
    <mergeCell ref="AX13:AX14"/>
    <mergeCell ref="AY13:AY14"/>
    <mergeCell ref="AM13:AM14"/>
    <mergeCell ref="AN13:AN14"/>
    <mergeCell ref="AO13:AO14"/>
    <mergeCell ref="AQ13:AQ14"/>
    <mergeCell ref="AR13:AR14"/>
    <mergeCell ref="AS13:AS14"/>
    <mergeCell ref="AA13:AA14"/>
    <mergeCell ref="E22:E27"/>
    <mergeCell ref="F22:F27"/>
    <mergeCell ref="G22:G27"/>
    <mergeCell ref="H22:H27"/>
    <mergeCell ref="L15:L21"/>
    <mergeCell ref="M15:M21"/>
    <mergeCell ref="N15:N21"/>
    <mergeCell ref="O15:O21"/>
    <mergeCell ref="AP15:AP21"/>
    <mergeCell ref="M28:M33"/>
    <mergeCell ref="N28:N33"/>
    <mergeCell ref="O28:O33"/>
    <mergeCell ref="P28:P29"/>
    <mergeCell ref="Q28:Q29"/>
    <mergeCell ref="R28:R29"/>
    <mergeCell ref="AU22:AU27"/>
    <mergeCell ref="A28:C33"/>
    <mergeCell ref="D28:D33"/>
    <mergeCell ref="E28:E33"/>
    <mergeCell ref="F28:F33"/>
    <mergeCell ref="G28:G33"/>
    <mergeCell ref="H28:H33"/>
    <mergeCell ref="I28:I29"/>
    <mergeCell ref="K28:K33"/>
    <mergeCell ref="L28:L33"/>
    <mergeCell ref="K22:K27"/>
    <mergeCell ref="L22:L27"/>
    <mergeCell ref="M22:M27"/>
    <mergeCell ref="N22:N27"/>
    <mergeCell ref="O22:O27"/>
    <mergeCell ref="AP22:AP27"/>
    <mergeCell ref="A22:C27"/>
    <mergeCell ref="D22:D27"/>
    <mergeCell ref="AB28:AB29"/>
    <mergeCell ref="AC28:AC29"/>
    <mergeCell ref="AD28:AD29"/>
    <mergeCell ref="AE28:AE29"/>
    <mergeCell ref="S28:S29"/>
    <mergeCell ref="T28:T29"/>
    <mergeCell ref="U28:U29"/>
    <mergeCell ref="W28:W29"/>
    <mergeCell ref="X28:X29"/>
    <mergeCell ref="Y28:Y29"/>
    <mergeCell ref="AS28:AS29"/>
    <mergeCell ref="AT28:AT29"/>
    <mergeCell ref="AU28:AU33"/>
    <mergeCell ref="AV28:AV29"/>
    <mergeCell ref="A34:C38"/>
    <mergeCell ref="D34:D38"/>
    <mergeCell ref="E34:E38"/>
    <mergeCell ref="F34:F38"/>
    <mergeCell ref="G34:G38"/>
    <mergeCell ref="H34:H38"/>
    <mergeCell ref="AL28:AL29"/>
    <mergeCell ref="AM28:AM29"/>
    <mergeCell ref="AN28:AN29"/>
    <mergeCell ref="AO28:AO29"/>
    <mergeCell ref="AP28:AP33"/>
    <mergeCell ref="AQ28:AQ29"/>
    <mergeCell ref="AF28:AF29"/>
    <mergeCell ref="AG28:AG29"/>
    <mergeCell ref="AH28:AH29"/>
    <mergeCell ref="AI28:AI29"/>
    <mergeCell ref="AJ28:AJ29"/>
    <mergeCell ref="AK28:AK29"/>
    <mergeCell ref="Z28:Z29"/>
    <mergeCell ref="AA28:AA29"/>
    <mergeCell ref="D45:AE45"/>
    <mergeCell ref="AU34:AU38"/>
    <mergeCell ref="I39:Z39"/>
    <mergeCell ref="D42:L42"/>
    <mergeCell ref="P42:S42"/>
    <mergeCell ref="D44:K44"/>
    <mergeCell ref="M44:S44"/>
    <mergeCell ref="U44:W44"/>
    <mergeCell ref="X44:AA44"/>
    <mergeCell ref="AB44:AE44"/>
    <mergeCell ref="K34:K38"/>
    <mergeCell ref="L34:L38"/>
    <mergeCell ref="M34:M38"/>
    <mergeCell ref="N34:N38"/>
    <mergeCell ref="O34:O38"/>
    <mergeCell ref="AP34:AP38"/>
  </mergeCells>
  <conditionalFormatting sqref="Q15:Q28 AJ15:AJ28 Q30:Q38 AJ30:AJ38">
    <cfRule type="cellIs" dxfId="133" priority="40" operator="equal">
      <formula>"Muy Baja"</formula>
    </cfRule>
    <cfRule type="cellIs" dxfId="132" priority="37" operator="equal">
      <formula>"Alta"</formula>
    </cfRule>
    <cfRule type="cellIs" dxfId="131" priority="36" operator="equal">
      <formula>"Muy Alta"</formula>
    </cfRule>
    <cfRule type="cellIs" dxfId="130" priority="39" operator="equal">
      <formula>"Baja"</formula>
    </cfRule>
    <cfRule type="cellIs" dxfId="129" priority="38" operator="equal">
      <formula>"Media"</formula>
    </cfRule>
  </conditionalFormatting>
  <conditionalFormatting sqref="T15:T28">
    <cfRule type="containsText" dxfId="128" priority="20" operator="containsText" text="❌">
      <formula>NOT(ISERROR(SEARCH("❌",T15)))</formula>
    </cfRule>
  </conditionalFormatting>
  <conditionalFormatting sqref="T30:T38">
    <cfRule type="containsText" dxfId="127" priority="1" operator="containsText" text="❌">
      <formula>NOT(ISERROR(SEARCH("❌",T30)))</formula>
    </cfRule>
  </conditionalFormatting>
  <conditionalFormatting sqref="U15:U28">
    <cfRule type="cellIs" dxfId="126" priority="15" operator="equal">
      <formula>"Catastrófico"</formula>
    </cfRule>
    <cfRule type="cellIs" dxfId="125" priority="18" operator="equal">
      <formula>"Menor"</formula>
    </cfRule>
    <cfRule type="cellIs" dxfId="124" priority="19" operator="equal">
      <formula>"Leve"</formula>
    </cfRule>
    <cfRule type="cellIs" dxfId="123" priority="17" operator="equal">
      <formula>"Moderado"</formula>
    </cfRule>
    <cfRule type="cellIs" dxfId="122" priority="16" operator="equal">
      <formula>"Mayor"</formula>
    </cfRule>
  </conditionalFormatting>
  <conditionalFormatting sqref="U30:U38">
    <cfRule type="cellIs" dxfId="121" priority="6" operator="equal">
      <formula>"Catastrófico"</formula>
    </cfRule>
    <cfRule type="cellIs" dxfId="120" priority="7" operator="equal">
      <formula>"Mayor"</formula>
    </cfRule>
    <cfRule type="cellIs" dxfId="119" priority="8" operator="equal">
      <formula>"Moderado"</formula>
    </cfRule>
    <cfRule type="cellIs" dxfId="118" priority="9" operator="equal">
      <formula>"Menor"</formula>
    </cfRule>
    <cfRule type="cellIs" dxfId="117" priority="10" operator="equal">
      <formula>"Leve"</formula>
    </cfRule>
  </conditionalFormatting>
  <conditionalFormatting sqref="W15:W28">
    <cfRule type="cellIs" dxfId="116" priority="11" operator="equal">
      <formula>"Extremo"</formula>
    </cfRule>
    <cfRule type="cellIs" dxfId="115" priority="12" operator="equal">
      <formula>"Alto"</formula>
    </cfRule>
    <cfRule type="cellIs" dxfId="114" priority="13" operator="equal">
      <formula>"Moderado"</formula>
    </cfRule>
    <cfRule type="cellIs" dxfId="113" priority="14" operator="equal">
      <formula>"Bajo"</formula>
    </cfRule>
  </conditionalFormatting>
  <conditionalFormatting sqref="W30:W38">
    <cfRule type="cellIs" dxfId="112" priority="5" operator="equal">
      <formula>"Bajo"</formula>
    </cfRule>
    <cfRule type="cellIs" dxfId="111" priority="2" operator="equal">
      <formula>"Extremo"</formula>
    </cfRule>
    <cfRule type="cellIs" dxfId="110" priority="3" operator="equal">
      <formula>"Alto"</formula>
    </cfRule>
    <cfRule type="cellIs" dxfId="109" priority="4" operator="equal">
      <formula>"Moderado"</formula>
    </cfRule>
  </conditionalFormatting>
  <conditionalFormatting sqref="AK41:AK43">
    <cfRule type="cellIs" dxfId="108" priority="27" operator="equal">
      <formula>#REF!</formula>
    </cfRule>
    <cfRule type="cellIs" dxfId="107" priority="28" operator="equal">
      <formula>#REF!</formula>
    </cfRule>
  </conditionalFormatting>
  <conditionalFormatting sqref="AK41:AL43">
    <cfRule type="cellIs" dxfId="106" priority="26" stopIfTrue="1" operator="equal">
      <formula>#REF!</formula>
    </cfRule>
  </conditionalFormatting>
  <conditionalFormatting sqref="AL15:AL28 AL30:AL38">
    <cfRule type="cellIs" dxfId="105" priority="22" operator="equal">
      <formula>"Mayor"</formula>
    </cfRule>
    <cfRule type="cellIs" dxfId="104" priority="21" operator="equal">
      <formula>"Catastrófico"</formula>
    </cfRule>
    <cfRule type="cellIs" dxfId="103" priority="24" operator="equal">
      <formula>"Menor"</formula>
    </cfRule>
    <cfRule type="cellIs" dxfId="102" priority="25" operator="equal">
      <formula>"Leve"</formula>
    </cfRule>
    <cfRule type="cellIs" dxfId="101" priority="23" operator="equal">
      <formula>"Moderado"</formula>
    </cfRule>
  </conditionalFormatting>
  <conditionalFormatting sqref="AL41:AL43">
    <cfRule type="cellIs" dxfId="100" priority="29" stopIfTrue="1" operator="equal">
      <formula>#REF!</formula>
    </cfRule>
    <cfRule type="cellIs" dxfId="99" priority="30" stopIfTrue="1" operator="equal">
      <formula>#REF!</formula>
    </cfRule>
  </conditionalFormatting>
  <conditionalFormatting sqref="AN15:AN28 AN30:AN38">
    <cfRule type="cellIs" dxfId="98" priority="32" operator="equal">
      <formula>"Extremo"</formula>
    </cfRule>
    <cfRule type="cellIs" dxfId="97" priority="33" operator="equal">
      <formula>"Alto"</formula>
    </cfRule>
    <cfRule type="cellIs" dxfId="96" priority="34" operator="equal">
      <formula>"Moderado"</formula>
    </cfRule>
    <cfRule type="cellIs" dxfId="95" priority="35" operator="equal">
      <formula>"Bajo"</formula>
    </cfRule>
  </conditionalFormatting>
  <dataValidations count="6">
    <dataValidation type="list" allowBlank="1" showInputMessage="1" showErrorMessage="1" sqref="L41" xr:uid="{1A7B07D4-2CF0-43CE-B861-EAF812961007}">
      <formula1>$L$198:$L$207</formula1>
    </dataValidation>
    <dataValidation type="list" allowBlank="1" showInputMessage="1" showErrorMessage="1" sqref="L43 AK43:AL43" xr:uid="{31CCCD90-CDD2-4028-B889-8130ADD20B66}">
      <formula1>#REF!</formula1>
    </dataValidation>
    <dataValidation type="list" allowBlank="1" showInputMessage="1" showErrorMessage="1" sqref="AA43" xr:uid="{1BB8F255-FCA3-49B8-AE70-05EAA3F795F4}">
      <formula1>$S$198:$S$199</formula1>
    </dataValidation>
    <dataValidation type="list" allowBlank="1" showInputMessage="1" showErrorMessage="1" sqref="P43" xr:uid="{AFBC0D77-2A76-4A3B-801C-8F39B9BD6F6C}">
      <formula1>$P$198:$P$202</formula1>
    </dataValidation>
    <dataValidation type="list" allowBlank="1" showInputMessage="1" showErrorMessage="1" sqref="M43:O43" xr:uid="{CA5501D9-5DF0-40FB-AD80-DAC130DFBED8}">
      <formula1>$M$198:$M$202</formula1>
    </dataValidation>
    <dataValidation type="list" allowBlank="1" showInputMessage="1" showErrorMessage="1" sqref="AW43 AD43:AJ43 AB43 AS43 AU43" xr:uid="{07737F8B-1056-4FDF-8011-EFC4EDBA7BEB}">
      <formula1>$AS$198:$AS$205</formula1>
    </dataValidation>
  </dataValidations>
  <hyperlinks>
    <hyperlink ref="AZ15" r:id="rId1" xr:uid="{3BC64F57-8F44-42A4-AA95-62A1FB0141A4}"/>
    <hyperlink ref="AZ18" r:id="rId2" xr:uid="{5423A73C-89AD-41FB-9C3D-AF8B7E0F9CB9}"/>
    <hyperlink ref="AZ19" r:id="rId3" display="../../../../../../:x:/g/personal/seguridaddigital_itc_edu_co/ERWKhscw4L1As8WJjIqXm1wBw5suzKO0k_dxZXbf2hVRMQ?e=kx0NlF" xr:uid="{F960569F-3A80-43E8-9B99-6B8E944F41E0}"/>
    <hyperlink ref="AZ21" r:id="rId4" display="https://itceduco-my.sharepoint.com/personal/seguridaddigital_itc_edu_co/Documents/Backup Angela/9. Mapa de riesgo/SEGUIMIENTO PRIMERA LINEA/../../../../../../:f:/g/personal/seguridaddigital_itc_edu_co/EtALee59y4tMgnH1a99ZgncBJGu6XL1PVoy5p9SfNZle-g?e=FJSW9G " xr:uid="{15F29E31-ACEB-4ADA-8EF9-7D4E42555431}"/>
    <hyperlink ref="AZ22" r:id="rId5" xr:uid="{30B0DA4F-00BA-4205-91C9-55C5FFD2FC17}"/>
    <hyperlink ref="AZ24" r:id="rId6" xr:uid="{491B6CF2-E820-4707-B576-23F02E35DF39}"/>
    <hyperlink ref="AZ25" r:id="rId7" xr:uid="{140C0A43-934A-4309-B1FD-669C25C9B66D}"/>
    <hyperlink ref="AZ26" r:id="rId8" display="https://itceduco.sharepoint.com/:f:/s/MESADETRABAJONCISO27001/EhzDvWiVR3VAlTEA63z8m5gBuwy0HXFBTqqGr80CvUlYGA?e=B1iyVA" xr:uid="{A1AFF45A-FE85-4BB8-8EE2-EF1BCAE5DF9B}"/>
    <hyperlink ref="AZ27" r:id="rId9" xr:uid="{542424F0-7F9F-4B79-B6BF-83ACC67F2F6C}"/>
    <hyperlink ref="AZ29" r:id="rId10" display="https://itceduco.sharepoint.com/:f:/s/MESADETRABAJONCISO27001/EhzDvWiVR3VAlTEA63z8m5gBuwy0HXFBTqqGr80CvUlYGA?e=B1iyVA" xr:uid="{215182E4-1823-4A60-A888-4FCB7E3B6320}"/>
    <hyperlink ref="AZ30" r:id="rId11" display="https://itceduco.sharepoint.com/:f:/s/MESADETRABAJONCISO27001/EhzDvWiVR3VAlTEA63z8m5gBuwy0HXFBTqqGr80CvUlYGA?e=B1iyVA" xr:uid="{FDABEB00-57D7-45A1-BFCD-550E01B1FFDB}"/>
    <hyperlink ref="AZ31" r:id="rId12" xr:uid="{195D4D7C-35E7-4799-9B20-567E1951DE5E}"/>
    <hyperlink ref="AZ32" r:id="rId13" xr:uid="{44D94EF1-7BE6-433F-8533-3C148929C69B}"/>
    <hyperlink ref="AZ34" r:id="rId14" xr:uid="{E3DBF4E0-65E5-4BBE-B41E-C737E672C04F}"/>
    <hyperlink ref="AZ37" r:id="rId15" xr:uid="{9CC3F86B-B564-440D-BA3B-44E8B245A296}"/>
  </hyperlinks>
  <pageMargins left="0.7" right="0.7" top="0.75" bottom="0.75" header="0.3" footer="0.3"/>
  <pageSetup orientation="portrait" r:id="rId16"/>
  <drawing r:id="rId17"/>
  <legacyDrawing r:id="rId1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8F27-50D8-44DC-A34C-E2A2CAD13F37}">
  <sheetPr>
    <tabColor rgb="FF287840"/>
  </sheetPr>
  <dimension ref="A1:CE32"/>
  <sheetViews>
    <sheetView showGridLines="0" topLeftCell="A7" zoomScale="48" zoomScaleNormal="48" workbookViewId="0">
      <pane xSplit="4" ySplit="8" topLeftCell="E15" activePane="bottomRight" state="frozen"/>
      <selection activeCell="A7" sqref="A7"/>
      <selection pane="topRight" activeCell="E7" sqref="E7"/>
      <selection pane="bottomLeft" activeCell="A15" sqref="A15"/>
      <selection pane="bottomRight" activeCell="C14" sqref="C14"/>
    </sheetView>
  </sheetViews>
  <sheetFormatPr baseColWidth="10" defaultColWidth="11.42578125" defaultRowHeight="14.25" x14ac:dyDescent="0.2"/>
  <cols>
    <col min="1" max="1" width="11.42578125" style="165" customWidth="1"/>
    <col min="2" max="2" width="3" style="165" customWidth="1"/>
    <col min="3" max="3" width="2.5703125" style="165" customWidth="1"/>
    <col min="4" max="4" width="8" style="166" customWidth="1"/>
    <col min="5" max="5" width="14.7109375" style="166" customWidth="1"/>
    <col min="6" max="8" width="12" style="166" customWidth="1"/>
    <col min="9" max="9" width="35.42578125" style="166" hidden="1" customWidth="1"/>
    <col min="10" max="10" width="23.42578125" style="166" hidden="1" customWidth="1"/>
    <col min="11" max="11" width="43" style="166" customWidth="1"/>
    <col min="12" max="12" width="16.28515625" style="166" hidden="1" customWidth="1"/>
    <col min="13" max="13" width="31" style="166" customWidth="1"/>
    <col min="14" max="14" width="40.42578125" style="165" customWidth="1"/>
    <col min="15" max="17" width="19" style="167" customWidth="1"/>
    <col min="18" max="18" width="17.7109375" style="165" customWidth="1"/>
    <col min="19" max="19" width="16.42578125" style="165" customWidth="1"/>
    <col min="20" max="20" width="6.28515625" style="165" bestFit="1" customWidth="1"/>
    <col min="21" max="21" width="27.28515625" style="165" bestFit="1" customWidth="1"/>
    <col min="22" max="22" width="25.5703125" style="165" customWidth="1"/>
    <col min="23" max="23" width="17.42578125" style="165" customWidth="1"/>
    <col min="24" max="24" width="6.28515625" style="165" bestFit="1" customWidth="1"/>
    <col min="25" max="25" width="16" style="165" customWidth="1"/>
    <col min="26" max="26" width="5.7109375" style="165" customWidth="1"/>
    <col min="27" max="27" width="59.28515625" style="165" customWidth="1"/>
    <col min="28" max="28" width="69.5703125" style="165" customWidth="1"/>
    <col min="29" max="29" width="15.140625" style="165" bestFit="1" customWidth="1"/>
    <col min="30" max="30" width="6.7109375" style="165" customWidth="1"/>
    <col min="31" max="31" width="5" style="165" customWidth="1"/>
    <col min="32" max="32" width="5.42578125" style="165" customWidth="1"/>
    <col min="33" max="33" width="7.140625" style="165" customWidth="1"/>
    <col min="34" max="34" width="6.7109375" style="165" customWidth="1"/>
    <col min="35" max="36" width="12.5703125" style="165" customWidth="1"/>
    <col min="37" max="37" width="13.7109375" style="165" customWidth="1"/>
    <col min="38" max="38" width="8.7109375" style="165" customWidth="1"/>
    <col min="39" max="39" width="10.42578125" style="165" customWidth="1"/>
    <col min="40" max="40" width="9.28515625" style="165" customWidth="1"/>
    <col min="41" max="41" width="9.140625" style="165" customWidth="1"/>
    <col min="42" max="42" width="8.42578125" style="165" customWidth="1"/>
    <col min="43" max="43" width="7.28515625" style="165" customWidth="1"/>
    <col min="44" max="44" width="44.28515625" style="165" hidden="1" customWidth="1"/>
    <col min="45" max="45" width="53.85546875" style="165" customWidth="1"/>
    <col min="46" max="46" width="33.28515625" style="165" customWidth="1"/>
    <col min="47" max="47" width="16.7109375" style="165" customWidth="1"/>
    <col min="48" max="48" width="14.7109375" style="165" customWidth="1"/>
    <col min="49" max="49" width="18.42578125" style="165" customWidth="1"/>
    <col min="50" max="50" width="21" style="165" customWidth="1"/>
    <col min="51" max="51" width="14.140625" style="165" customWidth="1"/>
    <col min="52" max="52" width="17.7109375" style="165" customWidth="1"/>
    <col min="53" max="54" width="20.7109375" style="165" customWidth="1"/>
    <col min="55" max="55" width="15.42578125" style="165" customWidth="1"/>
    <col min="56" max="56" width="19.5703125" style="165" customWidth="1"/>
    <col min="57" max="57" width="17.28515625" style="165" customWidth="1"/>
    <col min="58" max="16384" width="11.42578125" style="165"/>
  </cols>
  <sheetData>
    <row r="1" spans="1:83" ht="15" hidden="1" thickBot="1" x14ac:dyDescent="0.25"/>
    <row r="2" spans="1:83" ht="27.75" hidden="1" customHeight="1" x14ac:dyDescent="0.2">
      <c r="D2" s="545" t="s">
        <v>299</v>
      </c>
      <c r="E2" s="546"/>
      <c r="F2" s="546"/>
      <c r="G2" s="546"/>
      <c r="H2" s="546"/>
      <c r="I2" s="216"/>
      <c r="J2" s="249"/>
      <c r="K2" s="551" t="s">
        <v>203</v>
      </c>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2"/>
      <c r="BD2" s="557" t="s">
        <v>323</v>
      </c>
      <c r="BE2" s="558"/>
    </row>
    <row r="3" spans="1:83" ht="27.75" hidden="1" customHeight="1" x14ac:dyDescent="0.2">
      <c r="D3" s="547"/>
      <c r="E3" s="548"/>
      <c r="F3" s="548"/>
      <c r="G3" s="548"/>
      <c r="H3" s="548"/>
      <c r="I3" s="214"/>
      <c r="J3" s="221"/>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554"/>
      <c r="BD3" s="558" t="s">
        <v>240</v>
      </c>
      <c r="BE3" s="559"/>
    </row>
    <row r="4" spans="1:83" ht="27.75" hidden="1" customHeight="1" x14ac:dyDescent="0.2">
      <c r="D4" s="547"/>
      <c r="E4" s="548"/>
      <c r="F4" s="548"/>
      <c r="G4" s="548"/>
      <c r="H4" s="548"/>
      <c r="I4" s="214"/>
      <c r="J4" s="221"/>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3"/>
      <c r="BB4" s="553"/>
      <c r="BC4" s="554"/>
      <c r="BD4" s="558" t="s">
        <v>333</v>
      </c>
      <c r="BE4" s="559"/>
    </row>
    <row r="5" spans="1:83" ht="27.75" hidden="1" customHeight="1" thickBot="1" x14ac:dyDescent="0.25">
      <c r="D5" s="549"/>
      <c r="E5" s="550"/>
      <c r="F5" s="550"/>
      <c r="G5" s="550"/>
      <c r="H5" s="550"/>
      <c r="I5" s="215"/>
      <c r="J5" s="248"/>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6"/>
      <c r="BD5" s="558" t="s">
        <v>204</v>
      </c>
      <c r="BE5" s="559"/>
    </row>
    <row r="6" spans="1:83" ht="13.9" hidden="1" customHeight="1" x14ac:dyDescent="0.25">
      <c r="D6" s="119"/>
      <c r="E6" s="120"/>
      <c r="F6" s="120"/>
      <c r="G6" s="120"/>
      <c r="H6" s="120"/>
      <c r="I6" s="120"/>
      <c r="J6" s="120"/>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22"/>
      <c r="BE6" s="121"/>
    </row>
    <row r="7" spans="1:83" ht="26.25" customHeight="1" x14ac:dyDescent="0.2">
      <c r="D7" s="538" t="s">
        <v>41</v>
      </c>
      <c r="E7" s="539"/>
      <c r="F7" s="539"/>
      <c r="G7" s="540"/>
      <c r="H7" s="541" t="s">
        <v>487</v>
      </c>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3"/>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row>
    <row r="8" spans="1:83" ht="54" customHeight="1" x14ac:dyDescent="0.2">
      <c r="D8" s="538" t="s">
        <v>128</v>
      </c>
      <c r="E8" s="539"/>
      <c r="F8" s="539"/>
      <c r="G8" s="540"/>
      <c r="H8" s="541" t="s">
        <v>488</v>
      </c>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3"/>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row>
    <row r="9" spans="1:83" ht="24" customHeight="1" x14ac:dyDescent="0.2">
      <c r="D9" s="538" t="s">
        <v>42</v>
      </c>
      <c r="E9" s="539"/>
      <c r="F9" s="539"/>
      <c r="G9" s="540"/>
      <c r="H9" s="541" t="s">
        <v>489</v>
      </c>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3"/>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row>
    <row r="10" spans="1:83" s="170" customFormat="1" ht="24" customHeight="1" x14ac:dyDescent="0.2">
      <c r="D10" s="171"/>
      <c r="E10" s="172"/>
      <c r="F10" s="173"/>
      <c r="G10" s="173"/>
      <c r="H10" s="171"/>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5"/>
      <c r="AZ10" s="175"/>
      <c r="BA10" s="175"/>
      <c r="BB10" s="175"/>
      <c r="BC10" s="175"/>
      <c r="BD10" s="175"/>
      <c r="BE10" s="175"/>
    </row>
    <row r="11" spans="1:83" s="170" customFormat="1" ht="37.5" customHeight="1" x14ac:dyDescent="0.25">
      <c r="A11" s="521" t="s">
        <v>264</v>
      </c>
      <c r="B11" s="521"/>
      <c r="C11" s="522"/>
      <c r="D11" s="523" t="s">
        <v>302</v>
      </c>
      <c r="E11" s="524"/>
      <c r="F11" s="524"/>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5" t="s">
        <v>300</v>
      </c>
      <c r="AZ11" s="526"/>
      <c r="BA11" s="526"/>
      <c r="BB11" s="527"/>
      <c r="BC11" s="528" t="s">
        <v>301</v>
      </c>
      <c r="BD11" s="529"/>
      <c r="BE11" s="530"/>
    </row>
    <row r="12" spans="1:83" ht="24.75" customHeight="1" x14ac:dyDescent="0.2">
      <c r="D12" s="511" t="s">
        <v>136</v>
      </c>
      <c r="E12" s="511"/>
      <c r="F12" s="511"/>
      <c r="G12" s="511"/>
      <c r="H12" s="511"/>
      <c r="I12" s="531"/>
      <c r="J12" s="531"/>
      <c r="K12" s="531"/>
      <c r="L12" s="531"/>
      <c r="M12" s="531"/>
      <c r="N12" s="531"/>
      <c r="O12" s="531"/>
      <c r="P12" s="531"/>
      <c r="Q12" s="531"/>
      <c r="R12" s="531"/>
      <c r="S12" s="531" t="s">
        <v>137</v>
      </c>
      <c r="T12" s="531"/>
      <c r="U12" s="531"/>
      <c r="V12" s="531"/>
      <c r="W12" s="531"/>
      <c r="X12" s="531"/>
      <c r="Y12" s="531"/>
      <c r="Z12" s="531" t="s">
        <v>138</v>
      </c>
      <c r="AA12" s="531"/>
      <c r="AB12" s="531"/>
      <c r="AC12" s="531"/>
      <c r="AD12" s="531"/>
      <c r="AE12" s="531"/>
      <c r="AF12" s="531"/>
      <c r="AG12" s="531"/>
      <c r="AH12" s="531"/>
      <c r="AI12" s="531"/>
      <c r="AJ12" s="532" t="s">
        <v>17</v>
      </c>
      <c r="AK12" s="655" t="s">
        <v>139</v>
      </c>
      <c r="AL12" s="656"/>
      <c r="AM12" s="656"/>
      <c r="AN12" s="656"/>
      <c r="AO12" s="656"/>
      <c r="AP12" s="656"/>
      <c r="AQ12" s="656"/>
      <c r="AR12" s="656" t="s">
        <v>33</v>
      </c>
      <c r="AS12" s="656"/>
      <c r="AT12" s="656"/>
      <c r="AU12" s="656"/>
      <c r="AV12" s="656"/>
      <c r="AW12" s="656"/>
      <c r="AX12" s="656"/>
      <c r="AY12" s="656"/>
      <c r="AZ12" s="656"/>
      <c r="BA12" s="656"/>
      <c r="BB12" s="656"/>
      <c r="BC12" s="656"/>
      <c r="BD12" s="656"/>
      <c r="BE12" s="656"/>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row>
    <row r="13" spans="1:83" ht="33" customHeight="1" x14ac:dyDescent="0.2">
      <c r="D13" s="537" t="s">
        <v>0</v>
      </c>
      <c r="E13" s="510" t="s">
        <v>309</v>
      </c>
      <c r="F13" s="588" t="s">
        <v>2</v>
      </c>
      <c r="G13" s="513" t="s">
        <v>314</v>
      </c>
      <c r="H13" s="511" t="s">
        <v>222</v>
      </c>
      <c r="I13" s="515" t="s">
        <v>369</v>
      </c>
      <c r="J13" s="516"/>
      <c r="K13" s="510" t="s">
        <v>305</v>
      </c>
      <c r="L13" s="513" t="s">
        <v>451</v>
      </c>
      <c r="M13" s="510" t="s">
        <v>306</v>
      </c>
      <c r="N13" s="511" t="s">
        <v>1</v>
      </c>
      <c r="O13" s="513" t="s">
        <v>48</v>
      </c>
      <c r="P13" s="562" t="s">
        <v>369</v>
      </c>
      <c r="Q13" s="563"/>
      <c r="R13" s="510" t="s">
        <v>132</v>
      </c>
      <c r="S13" s="510" t="s">
        <v>32</v>
      </c>
      <c r="T13" s="511" t="s">
        <v>5</v>
      </c>
      <c r="U13" s="510" t="s">
        <v>85</v>
      </c>
      <c r="V13" s="510" t="s">
        <v>90</v>
      </c>
      <c r="W13" s="510" t="s">
        <v>43</v>
      </c>
      <c r="X13" s="511" t="s">
        <v>5</v>
      </c>
      <c r="Y13" s="510" t="s">
        <v>46</v>
      </c>
      <c r="Z13" s="512" t="s">
        <v>10</v>
      </c>
      <c r="AA13" s="510" t="s">
        <v>158</v>
      </c>
      <c r="AB13" s="510" t="s">
        <v>456</v>
      </c>
      <c r="AC13" s="510" t="s">
        <v>11</v>
      </c>
      <c r="AD13" s="510" t="s">
        <v>455</v>
      </c>
      <c r="AE13" s="510"/>
      <c r="AF13" s="510"/>
      <c r="AG13" s="510"/>
      <c r="AH13" s="510"/>
      <c r="AI13" s="510"/>
      <c r="AJ13" s="533"/>
      <c r="AK13" s="512" t="s">
        <v>135</v>
      </c>
      <c r="AL13" s="512" t="s">
        <v>44</v>
      </c>
      <c r="AM13" s="512" t="s">
        <v>5</v>
      </c>
      <c r="AN13" s="512" t="s">
        <v>45</v>
      </c>
      <c r="AO13" s="512" t="s">
        <v>5</v>
      </c>
      <c r="AP13" s="512" t="s">
        <v>47</v>
      </c>
      <c r="AQ13" s="512" t="s">
        <v>28</v>
      </c>
      <c r="AR13" s="247" t="s">
        <v>454</v>
      </c>
      <c r="AS13" s="510" t="s">
        <v>33</v>
      </c>
      <c r="AT13" s="510" t="s">
        <v>34</v>
      </c>
      <c r="AU13" s="510" t="s">
        <v>35</v>
      </c>
      <c r="AV13" s="510" t="s">
        <v>36</v>
      </c>
      <c r="AW13" s="510" t="s">
        <v>210</v>
      </c>
      <c r="AX13" s="510" t="s">
        <v>37</v>
      </c>
      <c r="AY13" s="518" t="s">
        <v>36</v>
      </c>
      <c r="AZ13" s="505" t="s">
        <v>211</v>
      </c>
      <c r="BA13" s="505" t="s">
        <v>37</v>
      </c>
      <c r="BB13" s="507" t="s">
        <v>241</v>
      </c>
      <c r="BC13" s="509" t="s">
        <v>36</v>
      </c>
      <c r="BD13" s="509" t="s">
        <v>212</v>
      </c>
      <c r="BE13" s="509" t="s">
        <v>37</v>
      </c>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row>
    <row r="14" spans="1:83" s="181" customFormat="1" ht="136.9" customHeight="1" x14ac:dyDescent="0.25">
      <c r="A14" s="178" t="s">
        <v>695</v>
      </c>
      <c r="B14" s="178"/>
      <c r="C14" s="178"/>
      <c r="D14" s="537"/>
      <c r="E14" s="510"/>
      <c r="F14" s="531"/>
      <c r="G14" s="514"/>
      <c r="H14" s="511"/>
      <c r="I14" s="177" t="s">
        <v>453</v>
      </c>
      <c r="J14" s="176" t="s">
        <v>452</v>
      </c>
      <c r="K14" s="510"/>
      <c r="L14" s="514"/>
      <c r="M14" s="510"/>
      <c r="N14" s="511"/>
      <c r="O14" s="514"/>
      <c r="P14" s="213" t="s">
        <v>238</v>
      </c>
      <c r="Q14" s="213" t="s">
        <v>239</v>
      </c>
      <c r="R14" s="510"/>
      <c r="S14" s="510"/>
      <c r="T14" s="511"/>
      <c r="U14" s="510"/>
      <c r="V14" s="510"/>
      <c r="W14" s="511"/>
      <c r="X14" s="511"/>
      <c r="Y14" s="510"/>
      <c r="Z14" s="512"/>
      <c r="AA14" s="510"/>
      <c r="AB14" s="510"/>
      <c r="AC14" s="510"/>
      <c r="AD14" s="179" t="s">
        <v>12</v>
      </c>
      <c r="AE14" s="179" t="s">
        <v>16</v>
      </c>
      <c r="AF14" s="179" t="s">
        <v>27</v>
      </c>
      <c r="AG14" s="179" t="s">
        <v>17</v>
      </c>
      <c r="AH14" s="179" t="s">
        <v>20</v>
      </c>
      <c r="AI14" s="179" t="s">
        <v>23</v>
      </c>
      <c r="AJ14" s="534"/>
      <c r="AK14" s="512"/>
      <c r="AL14" s="512"/>
      <c r="AM14" s="512"/>
      <c r="AN14" s="512"/>
      <c r="AO14" s="512"/>
      <c r="AP14" s="512"/>
      <c r="AQ14" s="512"/>
      <c r="AR14" s="177" t="s">
        <v>450</v>
      </c>
      <c r="AS14" s="510"/>
      <c r="AT14" s="510"/>
      <c r="AU14" s="510"/>
      <c r="AV14" s="510"/>
      <c r="AW14" s="510"/>
      <c r="AX14" s="510"/>
      <c r="AY14" s="519"/>
      <c r="AZ14" s="506"/>
      <c r="BA14" s="506"/>
      <c r="BB14" s="508"/>
      <c r="BC14" s="509"/>
      <c r="BD14" s="509"/>
      <c r="BE14" s="509"/>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row>
    <row r="15" spans="1:83" s="225" customFormat="1" ht="60" customHeight="1" x14ac:dyDescent="0.25">
      <c r="D15" s="473" t="s">
        <v>524</v>
      </c>
      <c r="E15" s="473" t="s">
        <v>324</v>
      </c>
      <c r="F15" s="473" t="s">
        <v>131</v>
      </c>
      <c r="G15" s="473" t="s">
        <v>311</v>
      </c>
      <c r="H15" s="473" t="s">
        <v>226</v>
      </c>
      <c r="I15" s="212"/>
      <c r="J15" s="212"/>
      <c r="K15" s="478" t="s">
        <v>490</v>
      </c>
      <c r="L15" s="182"/>
      <c r="M15" s="478" t="s">
        <v>491</v>
      </c>
      <c r="N15" s="478" t="s">
        <v>492</v>
      </c>
      <c r="O15" s="450" t="s">
        <v>121</v>
      </c>
      <c r="P15" s="450" t="s">
        <v>231</v>
      </c>
      <c r="Q15" s="458" t="s">
        <v>233</v>
      </c>
      <c r="R15" s="481">
        <v>50</v>
      </c>
      <c r="S15" s="448" t="str">
        <f>IF(R15&lt;=0,"",IF(R15&lt;=2,"Muy Baja",IF(R15&lt;=24,"Baja",IF(R15&lt;=500,"Media",IF(R15&lt;=5000,"Alta","Muy Alta")))))</f>
        <v>Media</v>
      </c>
      <c r="T15" s="460">
        <f>IF(S15="","",IF(S15="Muy Baja",0.2,IF(S15="Baja",0.4,IF(S15="Media",0.6,IF(S15="Alta",0.8,IF(S15="Muy Alta",1,))))))</f>
        <v>0.6</v>
      </c>
      <c r="U15" s="482" t="s">
        <v>149</v>
      </c>
      <c r="V15" s="460" t="str">
        <f>IF(NOT(ISERROR(MATCH(U15,'[2]Tabla Impacto'!$B$221:$B$223,0))),'[2]Tabla Impacto'!$F$223&amp;"Por favor no seleccionar los criterios de impacto(Afectación Económica o presupuestal y Pérdida Reputacional)",U15)</f>
        <v xml:space="preserve">     El riesgo afecta la imagen de la entidad internamente, de conocimiento general, nivel interno, de junta dircetiva y accionistas y/o de provedores</v>
      </c>
      <c r="W15" s="462" t="str">
        <f>IF(OR(V15='[3]Tabla Impacto'!$C$11,V15='[3]Tabla Impacto'!$D$11),"Leve",IF(OR(V15='[3]Tabla Impacto'!$C$12,V15='[3]Tabla Impacto'!$D$12),"Menor",IF(OR(V15='[3]Tabla Impacto'!$C$13,V15='[3]Tabla Impacto'!$D$13),"Moderado",IF(OR(V15='[3]Tabla Impacto'!$C$14,V15='[3]Tabla Impacto'!$D$14),"Mayor",IF(OR(V15='[3]Tabla Impacto'!$C$15,V15='[3]Tabla Impacto'!$D$15),"Catastrófico","")))))</f>
        <v>Menor</v>
      </c>
      <c r="X15" s="460">
        <f>IF(W15="","",IF(W15="Leve",0.2,IF(W15="Menor",0.4,IF(W15="Moderado",0.6,IF(W15="Mayor",0.8,IF(W15="Catastrófico",1,))))))</f>
        <v>0.4</v>
      </c>
      <c r="Y15" s="448" t="str">
        <f>IF(OR(AND(S15="Muy Baja",W15="Leve"),AND(S15="Muy Baja",W15="Menor"),AND(S15="Baja",W15="Leve")),"Bajo",IF(OR(AND(S15="Muy baja",W15="Moderado"),AND(S15="Baja",W15="Menor"),AND(S15="Baja",W15="Moderado"),AND(S15="Media",W15="Leve"),AND(S15="Media",W15="Menor"),AND(S15="Media",W15="Moderado"),AND(S15="Alta",W15="Leve"),AND(S15="Alta",W15="Menor")),"Moderado",IF(OR(AND(S15="Muy Baja",W15="Mayor"),AND(S15="Baja",W15="Mayor"),AND(S15="Media",W15="Mayor"),AND(S15="Alta",W15="Moderado"),AND(S15="Alta",W15="Mayor"),AND(S15="Muy Alta",W15="Leve"),AND(S15="Muy Alta",W15="Menor"),AND(S15="Muy Alta",W15="Moderado"),AND(S15="Muy Alta",W15="Mayor")),"Alto",IF(OR(AND(S15="Muy Baja",W15="Catastrófico"),AND(S15="Baja",W15="Catastrófico"),AND(S15="Media",W15="Catastrófico"),AND(S15="Alta",W15="Catastrófico"),AND(S15="Muy Alta",W15="Catastrófico")),"Extremo",""))))</f>
        <v>Moderado</v>
      </c>
      <c r="Z15" s="254">
        <v>1</v>
      </c>
      <c r="AA15" s="255" t="s">
        <v>493</v>
      </c>
      <c r="AB15" s="256" t="s">
        <v>494</v>
      </c>
      <c r="AC15" s="185" t="str">
        <f>IF(OR(AD15="Preventivo",AD15="Detectivo"),"Probabilidad",IF(AD15="Correctivo","Impacto",""))</f>
        <v>Probabilidad</v>
      </c>
      <c r="AD15" s="190" t="s">
        <v>14</v>
      </c>
      <c r="AE15" s="190" t="s">
        <v>8</v>
      </c>
      <c r="AF15" s="189" t="str">
        <f>IF(AND(AD15="Preventivo",AE15="Automático"),"50%",IF(AND(AD15="Preventivo",AE15="Manual"),"40%",IF(AND(AD15="Detectivo",AE15="Automático"),"40%",IF(AND(AD15="Detectivo",AE15="Manual"),"30%",IF(AND(AD15="Correctivo",AE15="Automático"),"35%",IF(AND(AD15="Correctivo",AE15="Manual"),"25%",""))))))</f>
        <v>30%</v>
      </c>
      <c r="AG15" s="190" t="s">
        <v>19</v>
      </c>
      <c r="AH15" s="190" t="s">
        <v>21</v>
      </c>
      <c r="AI15" s="190" t="s">
        <v>118</v>
      </c>
      <c r="AJ15" s="182" t="s">
        <v>394</v>
      </c>
      <c r="AK15" s="188">
        <f>IFERROR(IF(AC15="Probabilidad",(T15-(+T15*AF15)),IF(AC15="Impacto",T15,"")),"")</f>
        <v>0.42</v>
      </c>
      <c r="AL15" s="228" t="str">
        <f>IFERROR(IF(AK15="","",IF(AK15&lt;=0.2,"Muy Baja",IF(AK15&lt;=0.4,"Baja",IF(AK15&lt;=0.6,"Media",IF(AK15&lt;=0.8,"Alta","Muy Alta"))))),"")</f>
        <v>Media</v>
      </c>
      <c r="AM15" s="189">
        <f t="shared" ref="AM15:AM25" si="0">+AK15</f>
        <v>0.42</v>
      </c>
      <c r="AN15" s="228" t="str">
        <f>IFERROR(IF(AO15="","",IF(AO15&lt;=0.2,"Leve",IF(AO15&lt;=0.4,"Menor",IF(AO15&lt;=0.6,"Moderado",IF(AO15&lt;=0.8,"Mayor","Catastrófico"))))),"")</f>
        <v>Menor</v>
      </c>
      <c r="AO15" s="189">
        <f>IFERROR(IF(AC15="Impacto",(X15-(+X15*AF15)),IF(AC15="Probabilidad",X15,"")),"")</f>
        <v>0.4</v>
      </c>
      <c r="AP15" s="228" t="str">
        <f t="shared" ref="AP15:AP25" si="1">IFERROR(IF(OR(AND(AL15="Muy Baja",AN15="Leve"),AND(AL15="Muy Baja",AN15="Menor"),AND(AL15="Baja",AN15="Leve")),"Bajo",IF(OR(AND(AL15="Muy baja",AN15="Moderado"),AND(AL15="Baja",AN15="Menor"),AND(AL15="Baja",AN15="Moderado"),AND(AL15="Media",AN15="Leve"),AND(AL15="Media",AN15="Menor"),AND(AL15="Media",AN15="Moderado"),AND(AL15="Alta",AN15="Leve"),AND(AL15="Alta",AN15="Menor")),"Moderado",IF(OR(AND(AL15="Muy Baja",AN15="Mayor"),AND(AL15="Baja",AN15="Mayor"),AND(AL15="Media",AN15="Mayor"),AND(AL15="Alta",AN15="Moderado"),AND(AL15="Alta",AN15="Mayor"),AND(AL15="Muy Alta",AN15="Leve"),AND(AL15="Muy Alta",AN15="Menor"),AND(AL15="Muy Alta",AN15="Moderado"),AND(AL15="Muy Alta",AN15="Mayor")),"Alto",IF(OR(AND(AL15="Muy Baja",AN15="Catastrófico"),AND(AL15="Baja",AN15="Catastrófico"),AND(AL15="Media",AN15="Catastrófico"),AND(AL15="Alta",AN15="Catastrófico"),AND(AL15="Muy Alta",AN15="Catastrófico")),"Extremo","")))),"")</f>
        <v>Moderado</v>
      </c>
      <c r="AQ15" s="190" t="s">
        <v>133</v>
      </c>
      <c r="AR15" s="190"/>
      <c r="AS15" s="251" t="s">
        <v>495</v>
      </c>
      <c r="AT15" s="468" t="s">
        <v>496</v>
      </c>
      <c r="AU15" s="191">
        <v>45687</v>
      </c>
      <c r="AV15" s="191"/>
      <c r="AW15" s="182"/>
      <c r="AX15" s="182"/>
      <c r="AY15" s="191"/>
      <c r="AZ15" s="182"/>
      <c r="BA15" s="218"/>
      <c r="BB15" s="218"/>
      <c r="BC15" s="245"/>
      <c r="BD15" s="218"/>
      <c r="BE15" s="218"/>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row>
    <row r="16" spans="1:83" s="225" customFormat="1" ht="60" customHeight="1" x14ac:dyDescent="0.25">
      <c r="D16" s="480"/>
      <c r="E16" s="480"/>
      <c r="F16" s="480"/>
      <c r="G16" s="480"/>
      <c r="H16" s="480"/>
      <c r="I16" s="212"/>
      <c r="J16" s="212"/>
      <c r="K16" s="478"/>
      <c r="L16" s="182"/>
      <c r="M16" s="478"/>
      <c r="N16" s="478"/>
      <c r="O16" s="470"/>
      <c r="P16" s="470"/>
      <c r="Q16" s="492"/>
      <c r="R16" s="481"/>
      <c r="S16" s="491"/>
      <c r="T16" s="489"/>
      <c r="U16" s="482"/>
      <c r="V16" s="489"/>
      <c r="W16" s="490"/>
      <c r="X16" s="489"/>
      <c r="Y16" s="491"/>
      <c r="Z16" s="254">
        <v>2</v>
      </c>
      <c r="AA16" s="255" t="s">
        <v>497</v>
      </c>
      <c r="AB16" s="256" t="s">
        <v>498</v>
      </c>
      <c r="AC16" s="185" t="str">
        <f t="shared" ref="AC16:AC25" si="2">IF(OR(AD16="Preventivo",AD16="Detectivo"),"Probabilidad",IF(AD16="Correctivo","Impacto",""))</f>
        <v>Probabilidad</v>
      </c>
      <c r="AD16" s="190" t="s">
        <v>14</v>
      </c>
      <c r="AE16" s="190" t="s">
        <v>8</v>
      </c>
      <c r="AF16" s="189" t="str">
        <f t="shared" ref="AF16:AF25" si="3">IF(AND(AD16="Preventivo",AE16="Automático"),"50%",IF(AND(AD16="Preventivo",AE16="Manual"),"40%",IF(AND(AD16="Detectivo",AE16="Automático"),"40%",IF(AND(AD16="Detectivo",AE16="Manual"),"30%",IF(AND(AD16="Correctivo",AE16="Automático"),"35%",IF(AND(AD16="Correctivo",AE16="Manual"),"25%",""))))))</f>
        <v>30%</v>
      </c>
      <c r="AG16" s="190" t="s">
        <v>18</v>
      </c>
      <c r="AH16" s="190" t="s">
        <v>21</v>
      </c>
      <c r="AI16" s="190" t="s">
        <v>117</v>
      </c>
      <c r="AJ16" s="182" t="s">
        <v>394</v>
      </c>
      <c r="AK16" s="224">
        <f>IFERROR(IF(AND(AC15="Probabilidad",AC16="Probabilidad"),(AM15-(+AM15*AF16)),IF(AC16="Probabilidad",(U15-(+U15*AC16)),IF(AC16="Impacto",AM15,""))),"")</f>
        <v>0.29399999999999998</v>
      </c>
      <c r="AL16" s="228" t="str">
        <f t="shared" ref="AL16:AL25" si="4">IFERROR(IF(AK16="","",IF(AK16&lt;=0.2,"Muy Baja",IF(AK16&lt;=0.4,"Baja",IF(AK16&lt;=0.6,"Media",IF(AK16&lt;=0.8,"Alta","Muy Alta"))))),"")</f>
        <v>Baja</v>
      </c>
      <c r="AM16" s="189">
        <f t="shared" si="0"/>
        <v>0.29399999999999998</v>
      </c>
      <c r="AN16" s="228" t="str">
        <f t="shared" ref="AN16:AN25" si="5">IFERROR(IF(AO16="","",IF(AO16&lt;=0.2,"Leve",IF(AO16&lt;=0.4,"Menor",IF(AO16&lt;=0.6,"Moderado",IF(AO16&lt;=0.8,"Mayor","Catastrófico"))))),"")</f>
        <v>Menor</v>
      </c>
      <c r="AO16" s="189">
        <f>IFERROR(IF(AC16="Impacto",(X15-(+X15*AF16)),IF(AC16="Probabilidad",X15,"")),"")</f>
        <v>0.4</v>
      </c>
      <c r="AP16" s="228" t="str">
        <f t="shared" si="1"/>
        <v>Moderado</v>
      </c>
      <c r="AQ16" s="190" t="s">
        <v>133</v>
      </c>
      <c r="AR16" s="190"/>
      <c r="AS16" s="251" t="s">
        <v>499</v>
      </c>
      <c r="AT16" s="468"/>
      <c r="AU16" s="191">
        <v>45687</v>
      </c>
      <c r="AV16" s="191"/>
      <c r="AW16" s="182"/>
      <c r="AX16" s="182"/>
      <c r="AY16" s="191"/>
      <c r="AZ16" s="182"/>
      <c r="BA16" s="182"/>
      <c r="BB16" s="182"/>
      <c r="BC16" s="191"/>
      <c r="BD16" s="182"/>
      <c r="BE16" s="182"/>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row>
    <row r="17" spans="4:83" s="225" customFormat="1" ht="60" customHeight="1" x14ac:dyDescent="0.25">
      <c r="D17" s="474"/>
      <c r="E17" s="474"/>
      <c r="F17" s="474"/>
      <c r="G17" s="474"/>
      <c r="H17" s="474"/>
      <c r="I17" s="212"/>
      <c r="J17" s="212"/>
      <c r="K17" s="478"/>
      <c r="L17" s="182"/>
      <c r="M17" s="478"/>
      <c r="N17" s="478"/>
      <c r="O17" s="451"/>
      <c r="P17" s="451"/>
      <c r="Q17" s="459"/>
      <c r="R17" s="481"/>
      <c r="S17" s="449"/>
      <c r="T17" s="461"/>
      <c r="U17" s="482"/>
      <c r="V17" s="461"/>
      <c r="W17" s="463"/>
      <c r="X17" s="461"/>
      <c r="Y17" s="449"/>
      <c r="Z17" s="254">
        <v>3</v>
      </c>
      <c r="AA17" s="257" t="s">
        <v>500</v>
      </c>
      <c r="AB17" s="258" t="s">
        <v>501</v>
      </c>
      <c r="AC17" s="185" t="str">
        <f t="shared" si="2"/>
        <v>Impacto</v>
      </c>
      <c r="AD17" s="190" t="s">
        <v>15</v>
      </c>
      <c r="AE17" s="190" t="s">
        <v>8</v>
      </c>
      <c r="AF17" s="189" t="str">
        <f t="shared" si="3"/>
        <v>25%</v>
      </c>
      <c r="AG17" s="190" t="s">
        <v>19</v>
      </c>
      <c r="AH17" s="190" t="s">
        <v>21</v>
      </c>
      <c r="AI17" s="190" t="s">
        <v>117</v>
      </c>
      <c r="AJ17" s="182" t="s">
        <v>394</v>
      </c>
      <c r="AK17" s="224">
        <f>IFERROR(IF(AND(AC16="Probabilidad",AC17="Probabilidad"),(AM16-(+AM16*AF17)),IF(AC17="Probabilidad",(U16-(+U16*AC17)),IF(AC17="Impacto",AM16,""))),"")</f>
        <v>0.29399999999999998</v>
      </c>
      <c r="AL17" s="228" t="str">
        <f t="shared" si="4"/>
        <v>Baja</v>
      </c>
      <c r="AM17" s="189">
        <f t="shared" si="0"/>
        <v>0.29399999999999998</v>
      </c>
      <c r="AN17" s="228" t="str">
        <f t="shared" si="5"/>
        <v>Menor</v>
      </c>
      <c r="AO17" s="189">
        <f>IFERROR(IF(AC17="Impacto",(X15-(+X15*AF17)),IF(AC17="Probabilidad",X15,"")),"")</f>
        <v>0.30000000000000004</v>
      </c>
      <c r="AP17" s="228" t="str">
        <f t="shared" si="1"/>
        <v>Moderado</v>
      </c>
      <c r="AQ17" s="190" t="s">
        <v>133</v>
      </c>
      <c r="AR17" s="190"/>
      <c r="AS17" s="251" t="s">
        <v>502</v>
      </c>
      <c r="AT17" s="468"/>
      <c r="AU17" s="191">
        <v>45687</v>
      </c>
      <c r="AV17" s="191"/>
      <c r="AW17" s="182"/>
      <c r="AX17" s="182"/>
      <c r="AY17" s="191"/>
      <c r="AZ17" s="182"/>
      <c r="BA17" s="182"/>
      <c r="BB17" s="182"/>
      <c r="BC17" s="191"/>
      <c r="BD17" s="182"/>
      <c r="BE17" s="182"/>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row>
    <row r="18" spans="4:83" s="225" customFormat="1" ht="60" customHeight="1" x14ac:dyDescent="0.25">
      <c r="D18" s="473" t="s">
        <v>525</v>
      </c>
      <c r="E18" s="473" t="s">
        <v>324</v>
      </c>
      <c r="F18" s="473" t="s">
        <v>324</v>
      </c>
      <c r="G18" s="473" t="s">
        <v>131</v>
      </c>
      <c r="H18" s="473" t="s">
        <v>311</v>
      </c>
      <c r="I18" s="212" t="s">
        <v>226</v>
      </c>
      <c r="J18" s="183"/>
      <c r="K18" s="478" t="s">
        <v>503</v>
      </c>
      <c r="L18" s="182"/>
      <c r="M18" s="478" t="s">
        <v>504</v>
      </c>
      <c r="N18" s="479" t="s">
        <v>505</v>
      </c>
      <c r="O18" s="450" t="s">
        <v>121</v>
      </c>
      <c r="P18" s="450" t="s">
        <v>231</v>
      </c>
      <c r="Q18" s="450" t="s">
        <v>233</v>
      </c>
      <c r="R18" s="481">
        <v>800</v>
      </c>
      <c r="S18" s="448" t="str">
        <f t="shared" ref="S18:S25" si="6">IF(R18&lt;=0,"",IF(R18&lt;=2,"Muy Baja",IF(R18&lt;=24,"Baja",IF(R18&lt;=500,"Media",IF(R18&lt;=5000,"Alta","Muy Alta")))))</f>
        <v>Alta</v>
      </c>
      <c r="T18" s="460">
        <f t="shared" ref="T18:T25" si="7">IF(S18="","",IF(S18="Muy Baja",0.2,IF(S18="Baja",0.4,IF(S18="Media",0.6,IF(S18="Alta",0.8,IF(S18="Muy Alta",1,))))))</f>
        <v>0.8</v>
      </c>
      <c r="U18" s="482" t="s">
        <v>150</v>
      </c>
      <c r="V18" s="460" t="str">
        <f>IF(NOT(ISERROR(MATCH(U18,'[2]Tabla Impacto'!$B$221:$B$223,0))),'[2]Tabla Impacto'!$F$223&amp;"Por favor no seleccionar los criterios de impacto(Afectación Económica o presupuestal y Pérdida Reputacional)",U18)</f>
        <v xml:space="preserve">     El riesgo afecta la imagen de la entidad con algunos usuarios de relevancia frente al logro de los objetivos</v>
      </c>
      <c r="W18" s="462" t="str">
        <f>IF(OR(V18='[3]Tabla Impacto'!$C$11,V18='[3]Tabla Impacto'!$D$11),"Leve",IF(OR(V18='[3]Tabla Impacto'!$C$12,V18='[3]Tabla Impacto'!$D$12),"Menor",IF(OR(V18='[3]Tabla Impacto'!$C$13,V18='[3]Tabla Impacto'!$D$13),"Moderado",IF(OR(V18='[3]Tabla Impacto'!$C$14,V18='[3]Tabla Impacto'!$D$14),"Mayor",IF(OR(V18='[3]Tabla Impacto'!$C$15,V18='[3]Tabla Impacto'!$D$15),"Catastrófico","")))))</f>
        <v>Moderado</v>
      </c>
      <c r="X18" s="460">
        <f t="shared" ref="X18:X25" si="8">IF(W18="","",IF(W18="Leve",0.2,IF(W18="Menor",0.4,IF(W18="Moderado",0.6,IF(W18="Mayor",0.8,IF(W18="Catastrófico",1,))))))</f>
        <v>0.6</v>
      </c>
      <c r="Y18" s="448" t="str">
        <f t="shared" ref="Y18:Y25" si="9">IF(OR(AND(S18="Muy Baja",W18="Leve"),AND(S18="Muy Baja",W18="Menor"),AND(S18="Baja",W18="Leve")),"Bajo",IF(OR(AND(S18="Muy baja",W18="Moderado"),AND(S18="Baja",W18="Menor"),AND(S18="Baja",W18="Moderado"),AND(S18="Media",W18="Leve"),AND(S18="Media",W18="Menor"),AND(S18="Media",W18="Moderado"),AND(S18="Alta",W18="Leve"),AND(S18="Alta",W18="Menor")),"Moderado",IF(OR(AND(S18="Muy Baja",W18="Mayor"),AND(S18="Baja",W18="Mayor"),AND(S18="Media",W18="Mayor"),AND(S18="Alta",W18="Moderado"),AND(S18="Alta",W18="Mayor"),AND(S18="Muy Alta",W18="Leve"),AND(S18="Muy Alta",W18="Menor"),AND(S18="Muy Alta",W18="Moderado"),AND(S18="Muy Alta",W18="Mayor")),"Alto",IF(OR(AND(S18="Muy Baja",W18="Catastrófico"),AND(S18="Baja",W18="Catastrófico"),AND(S18="Media",W18="Catastrófico"),AND(S18="Alta",W18="Catastrófico"),AND(S18="Muy Alta",W18="Catastrófico")),"Extremo",""))))</f>
        <v>Alto</v>
      </c>
      <c r="Z18" s="254">
        <v>1</v>
      </c>
      <c r="AA18" s="255" t="s">
        <v>506</v>
      </c>
      <c r="AB18" s="256" t="s">
        <v>507</v>
      </c>
      <c r="AC18" s="185" t="str">
        <f t="shared" si="2"/>
        <v>Probabilidad</v>
      </c>
      <c r="AD18" s="190" t="s">
        <v>13</v>
      </c>
      <c r="AE18" s="190" t="s">
        <v>8</v>
      </c>
      <c r="AF18" s="189" t="str">
        <f t="shared" si="3"/>
        <v>40%</v>
      </c>
      <c r="AG18" s="190" t="s">
        <v>18</v>
      </c>
      <c r="AH18" s="190" t="s">
        <v>21</v>
      </c>
      <c r="AI18" s="190" t="s">
        <v>117</v>
      </c>
      <c r="AJ18" s="182" t="s">
        <v>394</v>
      </c>
      <c r="AK18" s="188">
        <f>IFERROR(IF(AC18="Probabilidad",(T18-(+T18*AF18)),IF(AC18="Impacto",T18,"")),"")</f>
        <v>0.48</v>
      </c>
      <c r="AL18" s="228" t="str">
        <f t="shared" si="4"/>
        <v>Media</v>
      </c>
      <c r="AM18" s="189">
        <f t="shared" si="0"/>
        <v>0.48</v>
      </c>
      <c r="AN18" s="228" t="str">
        <f t="shared" si="5"/>
        <v>Menor</v>
      </c>
      <c r="AO18" s="189">
        <f>IFERROR(IF(AC18="Impacto",(X15-(+X15*AF18)),IF(AC18="Probabilidad",X15,"")),"")</f>
        <v>0.4</v>
      </c>
      <c r="AP18" s="228" t="str">
        <f t="shared" si="1"/>
        <v>Moderado</v>
      </c>
      <c r="AQ18" s="190" t="s">
        <v>133</v>
      </c>
      <c r="AR18" s="190"/>
      <c r="AS18" s="251" t="s">
        <v>508</v>
      </c>
      <c r="AT18" s="251" t="s">
        <v>496</v>
      </c>
      <c r="AU18" s="191">
        <v>45687</v>
      </c>
      <c r="AV18" s="191"/>
      <c r="AW18" s="182"/>
      <c r="AX18" s="182"/>
      <c r="AY18" s="191"/>
      <c r="AZ18" s="182"/>
      <c r="BA18" s="182"/>
      <c r="BB18" s="182"/>
      <c r="BC18" s="191"/>
      <c r="BD18" s="182"/>
      <c r="BE18" s="182"/>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row>
    <row r="19" spans="4:83" s="225" customFormat="1" ht="105" customHeight="1" x14ac:dyDescent="0.25">
      <c r="D19" s="474"/>
      <c r="E19" s="474"/>
      <c r="F19" s="474"/>
      <c r="G19" s="474"/>
      <c r="H19" s="474"/>
      <c r="I19" s="212"/>
      <c r="J19" s="183"/>
      <c r="K19" s="478"/>
      <c r="L19" s="182"/>
      <c r="M19" s="478"/>
      <c r="N19" s="479"/>
      <c r="O19" s="451"/>
      <c r="P19" s="451"/>
      <c r="Q19" s="451"/>
      <c r="R19" s="481"/>
      <c r="S19" s="449"/>
      <c r="T19" s="461"/>
      <c r="U19" s="482"/>
      <c r="V19" s="461"/>
      <c r="W19" s="463"/>
      <c r="X19" s="461"/>
      <c r="Y19" s="449"/>
      <c r="Z19" s="254">
        <v>2</v>
      </c>
      <c r="AA19" s="255" t="s">
        <v>699</v>
      </c>
      <c r="AB19" s="256" t="s">
        <v>510</v>
      </c>
      <c r="AC19" s="185" t="str">
        <f t="shared" si="2"/>
        <v>Probabilidad</v>
      </c>
      <c r="AD19" s="190" t="s">
        <v>14</v>
      </c>
      <c r="AE19" s="190" t="s">
        <v>8</v>
      </c>
      <c r="AF19" s="189" t="str">
        <f t="shared" si="3"/>
        <v>30%</v>
      </c>
      <c r="AG19" s="190" t="s">
        <v>18</v>
      </c>
      <c r="AH19" s="190" t="s">
        <v>21</v>
      </c>
      <c r="AI19" s="190" t="s">
        <v>118</v>
      </c>
      <c r="AJ19" s="182" t="s">
        <v>394</v>
      </c>
      <c r="AK19" s="224">
        <f>IFERROR(IF(AND(AC18="Probabilidad",AC19="Probabilidad"),(AM18-(+AM18*AF19)),IF(AC19="Probabilidad",(U18-(+U18*AC19)),IF(AC19="Impacto",AM18,""))),"")</f>
        <v>0.33599999999999997</v>
      </c>
      <c r="AL19" s="228" t="str">
        <f t="shared" si="4"/>
        <v>Baja</v>
      </c>
      <c r="AM19" s="189">
        <f t="shared" si="0"/>
        <v>0.33599999999999997</v>
      </c>
      <c r="AN19" s="228" t="str">
        <f t="shared" si="5"/>
        <v>Moderado</v>
      </c>
      <c r="AO19" s="189">
        <f t="shared" ref="AO19" si="10">IFERROR(IF(AC19="Impacto",(X18-(+X18*AF19)),IF(AC19="Probabilidad",X18,"")),"")</f>
        <v>0.6</v>
      </c>
      <c r="AP19" s="228" t="str">
        <f t="shared" si="1"/>
        <v>Moderado</v>
      </c>
      <c r="AQ19" s="190" t="s">
        <v>133</v>
      </c>
      <c r="AR19" s="190"/>
      <c r="AS19" s="251" t="s">
        <v>511</v>
      </c>
      <c r="AT19" s="251" t="s">
        <v>496</v>
      </c>
      <c r="AU19" s="191">
        <v>45687</v>
      </c>
      <c r="AV19" s="191"/>
      <c r="AW19" s="182"/>
      <c r="AX19" s="182"/>
      <c r="AY19" s="191"/>
      <c r="AZ19" s="182"/>
      <c r="BA19" s="182"/>
      <c r="BB19" s="182"/>
      <c r="BC19" s="191"/>
      <c r="BD19" s="182"/>
      <c r="BE19" s="182"/>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row>
    <row r="20" spans="4:83" s="225" customFormat="1" ht="103.5" customHeight="1" x14ac:dyDescent="0.25">
      <c r="D20" s="260" t="s">
        <v>526</v>
      </c>
      <c r="E20" s="212" t="s">
        <v>324</v>
      </c>
      <c r="F20" s="212" t="s">
        <v>324</v>
      </c>
      <c r="G20" s="212" t="s">
        <v>131</v>
      </c>
      <c r="H20" s="212" t="s">
        <v>311</v>
      </c>
      <c r="I20" s="212" t="s">
        <v>226</v>
      </c>
      <c r="J20" s="183"/>
      <c r="K20" s="251" t="s">
        <v>512</v>
      </c>
      <c r="L20" s="182"/>
      <c r="M20" s="251" t="s">
        <v>513</v>
      </c>
      <c r="N20" s="259" t="s">
        <v>514</v>
      </c>
      <c r="O20" s="210" t="s">
        <v>355</v>
      </c>
      <c r="P20" s="182" t="s">
        <v>233</v>
      </c>
      <c r="Q20" s="182" t="s">
        <v>233</v>
      </c>
      <c r="R20" s="252">
        <v>1000</v>
      </c>
      <c r="S20" s="261" t="str">
        <f t="shared" si="6"/>
        <v>Alta</v>
      </c>
      <c r="T20" s="242">
        <f t="shared" si="7"/>
        <v>0.8</v>
      </c>
      <c r="U20" s="253" t="s">
        <v>150</v>
      </c>
      <c r="V20" s="242" t="str">
        <f>IF(NOT(ISERROR(MATCH(U20,'[2]Tabla Impacto'!$B$221:$B$223,0))),'[2]Tabla Impacto'!$F$223&amp;"Por favor no seleccionar los criterios de impacto(Afectación Económica o presupuestal y Pérdida Reputacional)",U20)</f>
        <v xml:space="preserve">     El riesgo afecta la imagen de la entidad con algunos usuarios de relevancia frente al logro de los objetivos</v>
      </c>
      <c r="W20" s="234" t="str">
        <f>IF(OR(V20='[3]Tabla Impacto'!$C$11,V20='[3]Tabla Impacto'!$D$11),"Leve",IF(OR(V20='[3]Tabla Impacto'!$C$12,V20='[3]Tabla Impacto'!$D$12),"Menor",IF(OR(V20='[3]Tabla Impacto'!$C$13,V20='[3]Tabla Impacto'!$D$13),"Moderado",IF(OR(V20='[3]Tabla Impacto'!$C$14,V20='[3]Tabla Impacto'!$D$14),"Mayor",IF(OR(V20='[3]Tabla Impacto'!$C$15,V20='[3]Tabla Impacto'!$D$15),"Catastrófico","")))))</f>
        <v>Moderado</v>
      </c>
      <c r="X20" s="189">
        <f t="shared" si="8"/>
        <v>0.6</v>
      </c>
      <c r="Y20" s="193" t="str">
        <f t="shared" si="9"/>
        <v>Alto</v>
      </c>
      <c r="Z20" s="254">
        <v>1</v>
      </c>
      <c r="AA20" s="255" t="s">
        <v>515</v>
      </c>
      <c r="AB20" s="256" t="s">
        <v>516</v>
      </c>
      <c r="AC20" s="185" t="str">
        <f t="shared" si="2"/>
        <v>Probabilidad</v>
      </c>
      <c r="AD20" s="190" t="s">
        <v>13</v>
      </c>
      <c r="AE20" s="190" t="s">
        <v>8</v>
      </c>
      <c r="AF20" s="189" t="str">
        <f t="shared" si="3"/>
        <v>40%</v>
      </c>
      <c r="AG20" s="190" t="s">
        <v>19</v>
      </c>
      <c r="AH20" s="190" t="s">
        <v>21</v>
      </c>
      <c r="AI20" s="190" t="s">
        <v>118</v>
      </c>
      <c r="AJ20" s="182" t="s">
        <v>394</v>
      </c>
      <c r="AK20" s="188">
        <f>IFERROR(IF(AC20="Probabilidad",(T20-(+T20*AF20)),IF(AC20="Impacto",T20,"")),"")</f>
        <v>0.48</v>
      </c>
      <c r="AL20" s="228" t="str">
        <f t="shared" si="4"/>
        <v>Media</v>
      </c>
      <c r="AM20" s="189">
        <f>+AK20</f>
        <v>0.48</v>
      </c>
      <c r="AN20" s="228" t="str">
        <f t="shared" si="5"/>
        <v>Moderado</v>
      </c>
      <c r="AO20" s="189">
        <f>IFERROR(IF(AC20="Impacto",(X20-(+X20*AF20)),IF(AC20="Probabilidad",X20,"")),"")</f>
        <v>0.6</v>
      </c>
      <c r="AP20" s="228" t="str">
        <f t="shared" si="1"/>
        <v>Moderado</v>
      </c>
      <c r="AQ20" s="190" t="s">
        <v>133</v>
      </c>
      <c r="AR20" s="190"/>
      <c r="AS20" s="251" t="s">
        <v>517</v>
      </c>
      <c r="AT20" s="251" t="s">
        <v>496</v>
      </c>
      <c r="AU20" s="191">
        <v>45687</v>
      </c>
      <c r="AV20" s="191"/>
      <c r="AW20" s="182"/>
      <c r="AX20" s="182"/>
      <c r="AY20" s="191"/>
      <c r="AZ20" s="182"/>
      <c r="BA20" s="182"/>
      <c r="BB20" s="182"/>
      <c r="BC20" s="191"/>
      <c r="BD20" s="182"/>
      <c r="BE20" s="182"/>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row>
    <row r="21" spans="4:83" s="225" customFormat="1" ht="60" hidden="1" customHeight="1" x14ac:dyDescent="0.25">
      <c r="D21" s="183">
        <v>6</v>
      </c>
      <c r="E21" s="212"/>
      <c r="F21" s="212"/>
      <c r="G21" s="212"/>
      <c r="H21" s="183"/>
      <c r="I21" s="183"/>
      <c r="J21" s="183"/>
      <c r="K21" s="251"/>
      <c r="L21" s="182"/>
      <c r="M21" s="236"/>
      <c r="N21" s="262"/>
      <c r="O21" s="210"/>
      <c r="P21" s="182"/>
      <c r="Q21" s="182"/>
      <c r="R21" s="263"/>
      <c r="S21" s="193" t="str">
        <f t="shared" si="6"/>
        <v/>
      </c>
      <c r="T21" s="189" t="str">
        <f t="shared" si="7"/>
        <v/>
      </c>
      <c r="U21" s="194"/>
      <c r="V21" s="242">
        <f>IF(NOT(ISERROR(MATCH(U21,'[2]Tabla Impacto'!$B$221:$B$223,0))),'[2]Tabla Impacto'!$F$223&amp;"Por favor no seleccionar los criterios de impacto(Afectación Económica o presupuestal y Pérdida Reputacional)",U21)</f>
        <v>0</v>
      </c>
      <c r="W21" s="234" t="str">
        <f>IF(OR(V21='[3]Tabla Impacto'!$C$11,V21='[3]Tabla Impacto'!$D$11),"Leve",IF(OR(V21='[3]Tabla Impacto'!$C$12,V21='[3]Tabla Impacto'!$D$12),"Menor",IF(OR(V21='[3]Tabla Impacto'!$C$13,V21='[3]Tabla Impacto'!$D$13),"Moderado",IF(OR(V21='[3]Tabla Impacto'!$C$14,V21='[3]Tabla Impacto'!$D$14),"Mayor",IF(OR(V21='[3]Tabla Impacto'!$C$15,V21='[3]Tabla Impacto'!$D$15),"Catastrófico","")))))</f>
        <v/>
      </c>
      <c r="X21" s="189" t="str">
        <f t="shared" si="8"/>
        <v/>
      </c>
      <c r="Y21" s="193" t="str">
        <f t="shared" si="9"/>
        <v/>
      </c>
      <c r="Z21" s="264"/>
      <c r="AA21" s="265"/>
      <c r="AB21" s="266"/>
      <c r="AC21" s="185" t="str">
        <f t="shared" si="2"/>
        <v/>
      </c>
      <c r="AD21" s="190"/>
      <c r="AE21" s="190"/>
      <c r="AF21" s="189" t="str">
        <f t="shared" si="3"/>
        <v/>
      </c>
      <c r="AG21" s="190"/>
      <c r="AH21" s="190"/>
      <c r="AI21" s="190"/>
      <c r="AJ21" s="182"/>
      <c r="AK21" s="224" t="str">
        <f>IFERROR(IF(AND(AD20="Probabilidad",AD21="Probabilidad"),(AM20-(+AM20*AG21)),IF(AD21="Probabilidad",(V20-(+V20*AG21)),IF(AD21="Impacto",AM20,""))),"")</f>
        <v/>
      </c>
      <c r="AL21" s="228" t="str">
        <f t="shared" si="4"/>
        <v/>
      </c>
      <c r="AM21" s="189" t="str">
        <f t="shared" si="0"/>
        <v/>
      </c>
      <c r="AN21" s="228" t="str">
        <f t="shared" si="5"/>
        <v/>
      </c>
      <c r="AO21" s="189" t="str">
        <f t="shared" ref="AO21:AO25" si="11">IFERROR(IF(AC21="Impacto",(X21-(+X21*AF21)),IF(AC21="Probabilidad",X21,"")),"")</f>
        <v/>
      </c>
      <c r="AP21" s="228" t="str">
        <f t="shared" si="1"/>
        <v/>
      </c>
      <c r="AQ21" s="190"/>
      <c r="AR21" s="190"/>
      <c r="AS21" s="182"/>
      <c r="AT21" s="182"/>
      <c r="AU21" s="191"/>
      <c r="AV21" s="191"/>
      <c r="AW21" s="182"/>
      <c r="AX21" s="182"/>
      <c r="AY21" s="191"/>
      <c r="AZ21" s="182"/>
      <c r="BA21" s="182"/>
      <c r="BB21" s="182"/>
      <c r="BC21" s="191"/>
      <c r="BD21" s="182"/>
      <c r="BE21" s="182"/>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row>
    <row r="22" spans="4:83" s="225" customFormat="1" ht="60" hidden="1" customHeight="1" x14ac:dyDescent="0.25">
      <c r="D22" s="473">
        <v>7</v>
      </c>
      <c r="E22" s="212"/>
      <c r="F22" s="212"/>
      <c r="G22" s="212"/>
      <c r="H22" s="183"/>
      <c r="I22" s="183"/>
      <c r="J22" s="183"/>
      <c r="K22" s="241"/>
      <c r="L22" s="182"/>
      <c r="M22" s="241"/>
      <c r="N22" s="267"/>
      <c r="O22" s="210"/>
      <c r="P22" s="182"/>
      <c r="Q22" s="182"/>
      <c r="R22" s="268"/>
      <c r="S22" s="193" t="str">
        <f t="shared" si="6"/>
        <v/>
      </c>
      <c r="T22" s="189" t="str">
        <f t="shared" si="7"/>
        <v/>
      </c>
      <c r="U22" s="194"/>
      <c r="V22" s="242">
        <f>IF(NOT(ISERROR(MATCH(U22,'[2]Tabla Impacto'!$B$221:$B$223,0))),'[2]Tabla Impacto'!$F$223&amp;"Por favor no seleccionar los criterios de impacto(Afectación Económica o presupuestal y Pérdida Reputacional)",U22)</f>
        <v>0</v>
      </c>
      <c r="W22" s="234" t="str">
        <f>IF(OR(V22='[3]Tabla Impacto'!$C$11,V22='[3]Tabla Impacto'!$D$11),"Leve",IF(OR(V22='[3]Tabla Impacto'!$C$12,V22='[3]Tabla Impacto'!$D$12),"Menor",IF(OR(V22='[3]Tabla Impacto'!$C$13,V22='[3]Tabla Impacto'!$D$13),"Moderado",IF(OR(V22='[3]Tabla Impacto'!$C$14,V22='[3]Tabla Impacto'!$D$14),"Mayor",IF(OR(V22='[3]Tabla Impacto'!$C$15,V22='[3]Tabla Impacto'!$D$15),"Catastrófico","")))))</f>
        <v/>
      </c>
      <c r="X22" s="189" t="str">
        <f t="shared" si="8"/>
        <v/>
      </c>
      <c r="Y22" s="193" t="str">
        <f t="shared" si="9"/>
        <v/>
      </c>
      <c r="Z22" s="264"/>
      <c r="AA22" s="265"/>
      <c r="AB22" s="266"/>
      <c r="AC22" s="185" t="str">
        <f t="shared" si="2"/>
        <v/>
      </c>
      <c r="AD22" s="190"/>
      <c r="AE22" s="190"/>
      <c r="AF22" s="189" t="str">
        <f t="shared" si="3"/>
        <v/>
      </c>
      <c r="AG22" s="190"/>
      <c r="AH22" s="190"/>
      <c r="AI22" s="190"/>
      <c r="AJ22" s="182"/>
      <c r="AK22" s="224" t="str">
        <f t="shared" ref="AK22:AK23" si="12">IFERROR(IF(AND(AD21="Probabilidad",AD22="Probabilidad"),(AM21-(+AM21*AG22)),IF(AD22="Probabilidad",(V21-(+V21*AG22)),IF(AD22="Impacto",AM21,""))),"")</f>
        <v/>
      </c>
      <c r="AL22" s="228" t="str">
        <f t="shared" si="4"/>
        <v/>
      </c>
      <c r="AM22" s="189" t="str">
        <f t="shared" si="0"/>
        <v/>
      </c>
      <c r="AN22" s="228" t="str">
        <f t="shared" si="5"/>
        <v/>
      </c>
      <c r="AO22" s="189" t="str">
        <f t="shared" si="11"/>
        <v/>
      </c>
      <c r="AP22" s="228" t="str">
        <f t="shared" si="1"/>
        <v/>
      </c>
      <c r="AQ22" s="190"/>
      <c r="AR22" s="190"/>
      <c r="AS22" s="182"/>
      <c r="AT22" s="182"/>
      <c r="AU22" s="191"/>
      <c r="AV22" s="191"/>
      <c r="AW22" s="182"/>
      <c r="AX22" s="182"/>
      <c r="AY22" s="191"/>
      <c r="AZ22" s="182"/>
      <c r="BA22" s="182"/>
      <c r="BB22" s="182"/>
      <c r="BC22" s="191"/>
      <c r="BD22" s="182"/>
      <c r="BE22" s="182"/>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row>
    <row r="23" spans="4:83" s="225" customFormat="1" ht="60" hidden="1" customHeight="1" x14ac:dyDescent="0.25">
      <c r="D23" s="474"/>
      <c r="E23" s="212"/>
      <c r="F23" s="212"/>
      <c r="G23" s="212"/>
      <c r="H23" s="183"/>
      <c r="I23" s="183"/>
      <c r="J23" s="183"/>
      <c r="K23" s="241"/>
      <c r="L23" s="182"/>
      <c r="M23" s="241"/>
      <c r="N23" s="267"/>
      <c r="O23" s="210"/>
      <c r="P23" s="182"/>
      <c r="Q23" s="182"/>
      <c r="R23" s="268"/>
      <c r="S23" s="193" t="str">
        <f t="shared" si="6"/>
        <v/>
      </c>
      <c r="T23" s="189" t="str">
        <f t="shared" si="7"/>
        <v/>
      </c>
      <c r="U23" s="194"/>
      <c r="V23" s="189">
        <f>IF(NOT(ISERROR(MATCH(U23,'[2]Tabla Impacto'!$B$221:$B$223,0))),'[2]Tabla Impacto'!$F$223&amp;"Por favor no seleccionar los criterios de impacto(Afectación Económica o presupuestal y Pérdida Reputacional)",U23)</f>
        <v>0</v>
      </c>
      <c r="W23" s="234" t="str">
        <f>IF(OR(V23='[3]Tabla Impacto'!$C$11,V23='[3]Tabla Impacto'!$D$11),"Leve",IF(OR(V23='[3]Tabla Impacto'!$C$12,V23='[3]Tabla Impacto'!$D$12),"Menor",IF(OR(V23='[3]Tabla Impacto'!$C$13,V23='[3]Tabla Impacto'!$D$13),"Moderado",IF(OR(V23='[3]Tabla Impacto'!$C$14,V23='[3]Tabla Impacto'!$D$14),"Mayor",IF(OR(V23='[3]Tabla Impacto'!$C$15,V23='[3]Tabla Impacto'!$D$15),"Catastrófico","")))))</f>
        <v/>
      </c>
      <c r="X23" s="189" t="str">
        <f t="shared" si="8"/>
        <v/>
      </c>
      <c r="Y23" s="193" t="str">
        <f t="shared" si="9"/>
        <v/>
      </c>
      <c r="Z23" s="264"/>
      <c r="AA23" s="265"/>
      <c r="AB23" s="266"/>
      <c r="AC23" s="185" t="str">
        <f t="shared" si="2"/>
        <v/>
      </c>
      <c r="AD23" s="190"/>
      <c r="AE23" s="190"/>
      <c r="AF23" s="189" t="str">
        <f t="shared" si="3"/>
        <v/>
      </c>
      <c r="AG23" s="190"/>
      <c r="AH23" s="190"/>
      <c r="AI23" s="190"/>
      <c r="AJ23" s="182"/>
      <c r="AK23" s="224" t="str">
        <f t="shared" si="12"/>
        <v/>
      </c>
      <c r="AL23" s="228" t="str">
        <f t="shared" si="4"/>
        <v/>
      </c>
      <c r="AM23" s="189" t="str">
        <f t="shared" si="0"/>
        <v/>
      </c>
      <c r="AN23" s="228" t="str">
        <f t="shared" si="5"/>
        <v/>
      </c>
      <c r="AO23" s="189" t="str">
        <f t="shared" si="11"/>
        <v/>
      </c>
      <c r="AP23" s="228" t="str">
        <f t="shared" si="1"/>
        <v/>
      </c>
      <c r="AQ23" s="190"/>
      <c r="AR23" s="190"/>
      <c r="AS23" s="182"/>
      <c r="AT23" s="182"/>
      <c r="AU23" s="191"/>
      <c r="AV23" s="191"/>
      <c r="AW23" s="182"/>
      <c r="AX23" s="182"/>
      <c r="AY23" s="191"/>
      <c r="AZ23" s="182"/>
      <c r="BA23" s="182"/>
      <c r="BB23" s="182"/>
      <c r="BC23" s="191"/>
      <c r="BD23" s="182"/>
      <c r="BE23" s="182"/>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row>
    <row r="24" spans="4:83" s="225" customFormat="1" ht="60" hidden="1" customHeight="1" x14ac:dyDescent="0.25">
      <c r="D24" s="183">
        <v>8</v>
      </c>
      <c r="E24" s="212"/>
      <c r="F24" s="212"/>
      <c r="G24" s="212"/>
      <c r="H24" s="183"/>
      <c r="I24" s="183"/>
      <c r="J24" s="183"/>
      <c r="K24" s="236"/>
      <c r="L24" s="182"/>
      <c r="M24" s="236"/>
      <c r="N24" s="262"/>
      <c r="O24" s="210"/>
      <c r="P24" s="182"/>
      <c r="Q24" s="182"/>
      <c r="R24" s="263"/>
      <c r="S24" s="193" t="str">
        <f t="shared" si="6"/>
        <v/>
      </c>
      <c r="T24" s="189" t="str">
        <f t="shared" si="7"/>
        <v/>
      </c>
      <c r="U24" s="194"/>
      <c r="V24" s="189">
        <f>IF(NOT(ISERROR(MATCH(U24,'[2]Tabla Impacto'!$B$221:$B$223,0))),'[2]Tabla Impacto'!$F$223&amp;"Por favor no seleccionar los criterios de impacto(Afectación Económica o presupuestal y Pérdida Reputacional)",U24)</f>
        <v>0</v>
      </c>
      <c r="W24" s="234" t="str">
        <f>IF(OR(V24='[3]Tabla Impacto'!$C$11,V24='[3]Tabla Impacto'!$D$11),"Leve",IF(OR(V24='[3]Tabla Impacto'!$C$12,V24='[3]Tabla Impacto'!$D$12),"Menor",IF(OR(V24='[3]Tabla Impacto'!$C$13,V24='[3]Tabla Impacto'!$D$13),"Moderado",IF(OR(V24='[3]Tabla Impacto'!$C$14,V24='[3]Tabla Impacto'!$D$14),"Mayor",IF(OR(V24='[3]Tabla Impacto'!$C$15,V24='[3]Tabla Impacto'!$D$15),"Catastrófico","")))))</f>
        <v/>
      </c>
      <c r="X24" s="189" t="str">
        <f t="shared" si="8"/>
        <v/>
      </c>
      <c r="Y24" s="193" t="str">
        <f t="shared" si="9"/>
        <v/>
      </c>
      <c r="Z24" s="264"/>
      <c r="AA24" s="265"/>
      <c r="AB24" s="266"/>
      <c r="AC24" s="185" t="str">
        <f t="shared" si="2"/>
        <v/>
      </c>
      <c r="AD24" s="190"/>
      <c r="AE24" s="190"/>
      <c r="AF24" s="189" t="str">
        <f t="shared" si="3"/>
        <v/>
      </c>
      <c r="AG24" s="190"/>
      <c r="AH24" s="190"/>
      <c r="AI24" s="190"/>
      <c r="AJ24" s="182"/>
      <c r="AK24" s="227" t="str">
        <f t="shared" ref="AK24" si="13">IFERROR(IF(AD24="Probabilidad",(U24-(+U24*AG24)),IF(AD24="Impacto",U24,"")),"")</f>
        <v/>
      </c>
      <c r="AL24" s="228" t="str">
        <f t="shared" si="4"/>
        <v/>
      </c>
      <c r="AM24" s="189" t="str">
        <f t="shared" si="0"/>
        <v/>
      </c>
      <c r="AN24" s="228" t="str">
        <f t="shared" si="5"/>
        <v/>
      </c>
      <c r="AO24" s="189" t="str">
        <f t="shared" si="11"/>
        <v/>
      </c>
      <c r="AP24" s="228" t="str">
        <f t="shared" si="1"/>
        <v/>
      </c>
      <c r="AQ24" s="190"/>
      <c r="AR24" s="190"/>
      <c r="AS24" s="182"/>
      <c r="AT24" s="182"/>
      <c r="AU24" s="191"/>
      <c r="AV24" s="191"/>
      <c r="AW24" s="182"/>
      <c r="AX24" s="182"/>
      <c r="AY24" s="191"/>
      <c r="AZ24" s="182"/>
      <c r="BA24" s="182"/>
      <c r="BB24" s="182"/>
      <c r="BC24" s="191"/>
      <c r="BD24" s="182"/>
      <c r="BE24" s="182"/>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row>
    <row r="25" spans="4:83" s="225" customFormat="1" ht="60" hidden="1" customHeight="1" x14ac:dyDescent="0.25">
      <c r="D25" s="183">
        <v>9</v>
      </c>
      <c r="E25" s="212"/>
      <c r="F25" s="212"/>
      <c r="G25" s="212"/>
      <c r="H25" s="183"/>
      <c r="I25" s="183"/>
      <c r="J25" s="183"/>
      <c r="K25" s="236"/>
      <c r="L25" s="182"/>
      <c r="M25" s="236"/>
      <c r="N25" s="262"/>
      <c r="O25" s="210"/>
      <c r="P25" s="182"/>
      <c r="Q25" s="182"/>
      <c r="R25" s="263"/>
      <c r="S25" s="193" t="str">
        <f t="shared" si="6"/>
        <v/>
      </c>
      <c r="T25" s="189" t="str">
        <f t="shared" si="7"/>
        <v/>
      </c>
      <c r="U25" s="194"/>
      <c r="V25" s="189">
        <f>IF(NOT(ISERROR(MATCH(U25,'[2]Tabla Impacto'!$B$221:$B$223,0))),'[2]Tabla Impacto'!$F$223&amp;"Por favor no seleccionar los criterios de impacto(Afectación Económica o presupuestal y Pérdida Reputacional)",U25)</f>
        <v>0</v>
      </c>
      <c r="W25" s="234" t="str">
        <f>IF(OR(V25='[3]Tabla Impacto'!$C$11,V25='[3]Tabla Impacto'!$D$11),"Leve",IF(OR(V25='[3]Tabla Impacto'!$C$12,V25='[3]Tabla Impacto'!$D$12),"Menor",IF(OR(V25='[3]Tabla Impacto'!$C$13,V25='[3]Tabla Impacto'!$D$13),"Moderado",IF(OR(V25='[3]Tabla Impacto'!$C$14,V25='[3]Tabla Impacto'!$D$14),"Mayor",IF(OR(V25='[3]Tabla Impacto'!$C$15,V25='[3]Tabla Impacto'!$D$15),"Catastrófico","")))))</f>
        <v/>
      </c>
      <c r="X25" s="189" t="str">
        <f t="shared" si="8"/>
        <v/>
      </c>
      <c r="Y25" s="193" t="str">
        <f t="shared" si="9"/>
        <v/>
      </c>
      <c r="Z25" s="264"/>
      <c r="AA25" s="265"/>
      <c r="AB25" s="266"/>
      <c r="AC25" s="185" t="str">
        <f t="shared" si="2"/>
        <v/>
      </c>
      <c r="AD25" s="190"/>
      <c r="AE25" s="190"/>
      <c r="AF25" s="189" t="str">
        <f t="shared" si="3"/>
        <v/>
      </c>
      <c r="AG25" s="190"/>
      <c r="AH25" s="190"/>
      <c r="AI25" s="190"/>
      <c r="AJ25" s="182"/>
      <c r="AK25" s="224" t="str">
        <f>IFERROR(IF(AND(AD24="Probabilidad",AD25="Probabilidad"),(AM24-(+AM24*AG25)),IF(AD25="Probabilidad",(V24-(+V24*AG25)),IF(AD25="Impacto",AM24,""))),"")</f>
        <v/>
      </c>
      <c r="AL25" s="228" t="str">
        <f t="shared" si="4"/>
        <v/>
      </c>
      <c r="AM25" s="189" t="str">
        <f t="shared" si="0"/>
        <v/>
      </c>
      <c r="AN25" s="228" t="str">
        <f t="shared" si="5"/>
        <v/>
      </c>
      <c r="AO25" s="189" t="str">
        <f t="shared" si="11"/>
        <v/>
      </c>
      <c r="AP25" s="228" t="str">
        <f t="shared" si="1"/>
        <v/>
      </c>
      <c r="AQ25" s="190"/>
      <c r="AR25" s="190"/>
      <c r="AS25" s="182"/>
      <c r="AT25" s="182"/>
      <c r="AU25" s="191"/>
      <c r="AV25" s="191"/>
      <c r="AW25" s="182"/>
      <c r="AX25" s="182"/>
      <c r="AY25" s="191"/>
      <c r="AZ25" s="182"/>
      <c r="BA25" s="182"/>
      <c r="BB25" s="182"/>
      <c r="BC25" s="191"/>
      <c r="BD25" s="182"/>
      <c r="BE25" s="182"/>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row>
    <row r="26" spans="4:83" ht="49.5" customHeight="1" x14ac:dyDescent="0.2">
      <c r="D26" s="204"/>
      <c r="E26" s="205"/>
      <c r="F26" s="205"/>
      <c r="G26" s="205"/>
      <c r="H26" s="205"/>
      <c r="I26" s="230"/>
      <c r="J26" s="230"/>
      <c r="K26" s="560" t="s">
        <v>390</v>
      </c>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1"/>
    </row>
    <row r="28" spans="4:83" ht="15.75" x14ac:dyDescent="0.2">
      <c r="D28" s="109"/>
      <c r="E28" s="110"/>
      <c r="F28" s="110"/>
      <c r="G28" s="110"/>
      <c r="H28" s="110"/>
      <c r="I28" s="110"/>
      <c r="J28" s="110"/>
      <c r="K28" s="110"/>
      <c r="L28" s="110"/>
      <c r="M28" s="110"/>
      <c r="N28" s="110"/>
      <c r="O28" s="165"/>
      <c r="P28" s="165"/>
      <c r="Q28" s="165"/>
      <c r="S28" s="111"/>
      <c r="T28" s="110"/>
      <c r="U28" s="110"/>
      <c r="V28" s="110"/>
      <c r="W28" s="110"/>
      <c r="X28" s="110"/>
      <c r="Y28" s="110"/>
      <c r="Z28" s="110"/>
      <c r="AA28" s="110"/>
      <c r="AB28" s="110"/>
      <c r="AC28" s="112"/>
      <c r="AD28" s="112"/>
      <c r="AE28" s="110"/>
      <c r="AF28" s="110"/>
      <c r="AG28" s="110"/>
      <c r="AH28" s="110"/>
      <c r="AI28" s="110"/>
      <c r="AJ28" s="110"/>
      <c r="AK28" s="110"/>
      <c r="AL28" s="110"/>
      <c r="AM28" s="110"/>
      <c r="AN28" s="110"/>
      <c r="AO28" s="110"/>
      <c r="AP28" s="110"/>
      <c r="AQ28" s="113"/>
      <c r="AR28" s="113"/>
      <c r="AS28" s="113"/>
      <c r="AT28" s="110"/>
      <c r="AU28" s="110"/>
      <c r="AV28" s="110"/>
      <c r="AW28" s="110"/>
      <c r="AX28" s="110"/>
      <c r="AY28" s="110"/>
      <c r="AZ28" s="110"/>
    </row>
    <row r="29" spans="4:83" ht="18" x14ac:dyDescent="0.2">
      <c r="D29" s="498" t="s">
        <v>518</v>
      </c>
      <c r="E29" s="498"/>
      <c r="F29" s="498"/>
      <c r="G29" s="498"/>
      <c r="H29" s="498"/>
      <c r="I29" s="498"/>
      <c r="J29" s="498"/>
      <c r="K29" s="498"/>
      <c r="L29" s="498"/>
      <c r="M29" s="498"/>
      <c r="N29" s="498"/>
      <c r="O29" s="165"/>
      <c r="P29" s="165"/>
      <c r="Q29" s="165"/>
      <c r="R29" s="499" t="s">
        <v>388</v>
      </c>
      <c r="S29" s="500"/>
      <c r="T29" s="500"/>
      <c r="U29" s="501"/>
      <c r="V29" s="110"/>
      <c r="W29" s="110"/>
      <c r="X29" s="110"/>
      <c r="Y29" s="110"/>
      <c r="Z29" s="110"/>
      <c r="AA29" s="110"/>
      <c r="AB29" s="113"/>
      <c r="AC29" s="112"/>
      <c r="AD29" s="112"/>
      <c r="AE29" s="110"/>
      <c r="AF29" s="112"/>
      <c r="AG29" s="112"/>
      <c r="AH29" s="110"/>
      <c r="AI29" s="110"/>
      <c r="AJ29" s="110"/>
      <c r="AK29" s="110"/>
      <c r="AL29" s="110"/>
      <c r="AM29" s="110"/>
      <c r="AN29" s="110"/>
      <c r="AO29" s="110"/>
      <c r="AP29" s="110"/>
      <c r="AQ29" s="110"/>
      <c r="AR29" s="110"/>
      <c r="AS29" s="110"/>
      <c r="AT29" s="110"/>
      <c r="AU29" s="110"/>
      <c r="AV29" s="110"/>
      <c r="AW29" s="110"/>
      <c r="AX29" s="110"/>
      <c r="AY29" s="110"/>
      <c r="AZ29" s="110"/>
    </row>
    <row r="30" spans="4:83" ht="15" thickBot="1" x14ac:dyDescent="0.25">
      <c r="D30" s="165"/>
      <c r="E30" s="165"/>
      <c r="F30" s="165"/>
      <c r="G30" s="165"/>
      <c r="H30" s="165"/>
      <c r="I30" s="165"/>
      <c r="J30" s="165"/>
      <c r="K30" s="165"/>
      <c r="L30" s="165"/>
      <c r="M30" s="165"/>
      <c r="O30" s="165"/>
      <c r="P30" s="165"/>
      <c r="Q30" s="165"/>
      <c r="S30" s="167" t="str">
        <f>+IFERROR(VLOOKUP(O30,$O$185:$S$189,3,FALSE)*VLOOKUP(R30,$R$185:$S$189,3,FALSE),"")</f>
        <v/>
      </c>
      <c r="AC30" s="167"/>
      <c r="AD30" s="206"/>
      <c r="AF30" s="206"/>
      <c r="AG30" s="206"/>
      <c r="AH30" s="207"/>
      <c r="AI30" s="207"/>
      <c r="AJ30" s="207"/>
      <c r="AK30" s="207"/>
      <c r="AL30" s="207"/>
      <c r="AM30" s="114"/>
      <c r="AN30" s="114"/>
      <c r="AO30" s="207"/>
      <c r="AP30" s="208"/>
      <c r="AU30" s="207"/>
      <c r="AW30" s="207"/>
      <c r="AY30" s="207"/>
    </row>
    <row r="31" spans="4:83" ht="17.45" customHeight="1" thickTop="1" thickBot="1" x14ac:dyDescent="0.25">
      <c r="D31" s="483" t="s">
        <v>205</v>
      </c>
      <c r="E31" s="483"/>
      <c r="F31" s="483"/>
      <c r="G31" s="483"/>
      <c r="H31" s="483"/>
      <c r="I31" s="483"/>
      <c r="J31" s="483"/>
      <c r="K31" s="483"/>
      <c r="L31" s="483"/>
      <c r="M31" s="483"/>
      <c r="N31" s="164" t="s">
        <v>206</v>
      </c>
      <c r="O31" s="483" t="s">
        <v>207</v>
      </c>
      <c r="P31" s="483"/>
      <c r="Q31" s="483"/>
      <c r="R31" s="483"/>
      <c r="S31" s="483"/>
      <c r="T31" s="483"/>
      <c r="U31" s="483"/>
      <c r="V31" s="118"/>
      <c r="W31" s="484" t="s">
        <v>208</v>
      </c>
      <c r="X31" s="484"/>
      <c r="Y31" s="484"/>
      <c r="Z31" s="483" t="s">
        <v>209</v>
      </c>
      <c r="AA31" s="483"/>
      <c r="AB31" s="483"/>
      <c r="AC31" s="483"/>
      <c r="AD31" s="484">
        <v>1</v>
      </c>
      <c r="AE31" s="484"/>
      <c r="AF31" s="484"/>
      <c r="AG31" s="484"/>
      <c r="AH31" s="117"/>
      <c r="AI31" s="117"/>
      <c r="AJ31" s="117"/>
      <c r="AK31" s="117"/>
      <c r="AL31" s="117"/>
      <c r="AM31" s="117"/>
      <c r="AN31" s="117"/>
      <c r="AO31" s="117"/>
      <c r="AP31" s="117"/>
      <c r="AQ31" s="117"/>
      <c r="AR31" s="117"/>
      <c r="AS31" s="117"/>
      <c r="AT31" s="117"/>
      <c r="AU31" s="117"/>
      <c r="AV31" s="117"/>
      <c r="AW31" s="117"/>
      <c r="AX31" s="117"/>
      <c r="AY31" s="117"/>
      <c r="AZ31" s="115"/>
    </row>
    <row r="32" spans="4:83" ht="36.75" customHeight="1" thickTop="1" x14ac:dyDescent="0.25">
      <c r="D32" s="485" t="s">
        <v>385</v>
      </c>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row>
  </sheetData>
  <dataConsolidate/>
  <mergeCells count="116">
    <mergeCell ref="D2:H5"/>
    <mergeCell ref="K2:BC5"/>
    <mergeCell ref="BD2:BE2"/>
    <mergeCell ref="BD3:BE3"/>
    <mergeCell ref="BD4:BE4"/>
    <mergeCell ref="BD5:BE5"/>
    <mergeCell ref="BC11:BE11"/>
    <mergeCell ref="D12:R12"/>
    <mergeCell ref="S12:Y12"/>
    <mergeCell ref="Z12:AI12"/>
    <mergeCell ref="AJ12:AJ14"/>
    <mergeCell ref="AK12:AQ12"/>
    <mergeCell ref="AR12:BE12"/>
    <mergeCell ref="D7:G7"/>
    <mergeCell ref="H7:BE7"/>
    <mergeCell ref="D8:G8"/>
    <mergeCell ref="H8:BE8"/>
    <mergeCell ref="D9:G9"/>
    <mergeCell ref="H9:BE9"/>
    <mergeCell ref="D13:D14"/>
    <mergeCell ref="E13:E14"/>
    <mergeCell ref="F13:F14"/>
    <mergeCell ref="G13:G14"/>
    <mergeCell ref="H13:H14"/>
    <mergeCell ref="I13:J13"/>
    <mergeCell ref="A11:C11"/>
    <mergeCell ref="D11:AX11"/>
    <mergeCell ref="AY11:BB11"/>
    <mergeCell ref="R13:R14"/>
    <mergeCell ref="S13:S14"/>
    <mergeCell ref="T13:T14"/>
    <mergeCell ref="U13:U14"/>
    <mergeCell ref="V13:V14"/>
    <mergeCell ref="W13:W14"/>
    <mergeCell ref="K13:K14"/>
    <mergeCell ref="L13:L14"/>
    <mergeCell ref="M13:M14"/>
    <mergeCell ref="N13:N14"/>
    <mergeCell ref="O13:O14"/>
    <mergeCell ref="P13:Q13"/>
    <mergeCell ref="AL13:AL14"/>
    <mergeCell ref="AM13:AM14"/>
    <mergeCell ref="AN13:AN14"/>
    <mergeCell ref="AO13:AO14"/>
    <mergeCell ref="X13:X14"/>
    <mergeCell ref="Y13:Y14"/>
    <mergeCell ref="Z13:Z14"/>
    <mergeCell ref="AA13:AA14"/>
    <mergeCell ref="AB13:AB14"/>
    <mergeCell ref="AC13:AC14"/>
    <mergeCell ref="BC13:BC14"/>
    <mergeCell ref="BD13:BD14"/>
    <mergeCell ref="BE13:BE14"/>
    <mergeCell ref="D15:D17"/>
    <mergeCell ref="E15:E17"/>
    <mergeCell ref="F15:F17"/>
    <mergeCell ref="G15:G17"/>
    <mergeCell ref="H15:H17"/>
    <mergeCell ref="K15:K17"/>
    <mergeCell ref="M15:M17"/>
    <mergeCell ref="AW13:AW14"/>
    <mergeCell ref="AX13:AX14"/>
    <mergeCell ref="AY13:AY14"/>
    <mergeCell ref="AZ13:AZ14"/>
    <mergeCell ref="BA13:BA14"/>
    <mergeCell ref="BB13:BB14"/>
    <mergeCell ref="AP13:AP14"/>
    <mergeCell ref="AQ13:AQ14"/>
    <mergeCell ref="AS13:AS14"/>
    <mergeCell ref="AT13:AT14"/>
    <mergeCell ref="AU13:AU14"/>
    <mergeCell ref="AV13:AV14"/>
    <mergeCell ref="AD13:AI13"/>
    <mergeCell ref="AK13:AK14"/>
    <mergeCell ref="AT15:AT17"/>
    <mergeCell ref="D18:D19"/>
    <mergeCell ref="E18:E19"/>
    <mergeCell ref="F18:F19"/>
    <mergeCell ref="G18:G19"/>
    <mergeCell ref="H18:H19"/>
    <mergeCell ref="K18:K19"/>
    <mergeCell ref="M18:M19"/>
    <mergeCell ref="N18:N19"/>
    <mergeCell ref="O18:O19"/>
    <mergeCell ref="T15:T17"/>
    <mergeCell ref="U15:U17"/>
    <mergeCell ref="V15:V17"/>
    <mergeCell ref="W15:W17"/>
    <mergeCell ref="X15:X17"/>
    <mergeCell ref="Y15:Y17"/>
    <mergeCell ref="N15:N17"/>
    <mergeCell ref="O15:O17"/>
    <mergeCell ref="P15:P17"/>
    <mergeCell ref="Q15:Q17"/>
    <mergeCell ref="R15:R17"/>
    <mergeCell ref="S15:S17"/>
    <mergeCell ref="AD31:AG31"/>
    <mergeCell ref="D32:AG32"/>
    <mergeCell ref="D29:N29"/>
    <mergeCell ref="R29:U29"/>
    <mergeCell ref="D31:M31"/>
    <mergeCell ref="O31:U31"/>
    <mergeCell ref="W31:Y31"/>
    <mergeCell ref="Z31:AC31"/>
    <mergeCell ref="V18:V19"/>
    <mergeCell ref="W18:W19"/>
    <mergeCell ref="X18:X19"/>
    <mergeCell ref="Y18:Y19"/>
    <mergeCell ref="D22:D23"/>
    <mergeCell ref="K26:AX26"/>
    <mergeCell ref="P18:P19"/>
    <mergeCell ref="Q18:Q19"/>
    <mergeCell ref="R18:R19"/>
    <mergeCell ref="S18:S19"/>
    <mergeCell ref="T18:T19"/>
    <mergeCell ref="U18:U19"/>
  </mergeCells>
  <conditionalFormatting sqref="S15 AL15:AL25 S18 S20:S25">
    <cfRule type="cellIs" dxfId="94" priority="21" operator="equal">
      <formula>"Muy Alta"</formula>
    </cfRule>
    <cfRule type="cellIs" dxfId="93" priority="22" operator="equal">
      <formula>"Alta"</formula>
    </cfRule>
    <cfRule type="cellIs" dxfId="92" priority="23" operator="equal">
      <formula>"Media"</formula>
    </cfRule>
    <cfRule type="cellIs" dxfId="91" priority="24" operator="equal">
      <formula>"Baja"</formula>
    </cfRule>
    <cfRule type="cellIs" dxfId="90" priority="25" operator="equal">
      <formula>"Muy Baja"</formula>
    </cfRule>
  </conditionalFormatting>
  <conditionalFormatting sqref="V15 V18 V20:V25">
    <cfRule type="containsText" dxfId="89" priority="11" operator="containsText" text="❌">
      <formula>NOT(ISERROR(SEARCH("❌",V15)))</formula>
    </cfRule>
  </conditionalFormatting>
  <conditionalFormatting sqref="W15 W18 W20:W25">
    <cfRule type="cellIs" dxfId="88" priority="1" operator="equal">
      <formula>"Catastrófico"</formula>
    </cfRule>
    <cfRule type="cellIs" dxfId="87" priority="2" operator="equal">
      <formula>"Mayor"</formula>
    </cfRule>
    <cfRule type="cellIs" dxfId="86" priority="3" operator="equal">
      <formula>"Moderado"</formula>
    </cfRule>
    <cfRule type="cellIs" dxfId="85" priority="4" operator="equal">
      <formula>"Menor"</formula>
    </cfRule>
    <cfRule type="cellIs" dxfId="84" priority="5" operator="equal">
      <formula>"Leve"</formula>
    </cfRule>
  </conditionalFormatting>
  <conditionalFormatting sqref="Y15 AP15:AP25 Y18 Y20:Y25">
    <cfRule type="cellIs" dxfId="83" priority="17" operator="equal">
      <formula>"Extremo"</formula>
    </cfRule>
    <cfRule type="cellIs" dxfId="82" priority="18" operator="equal">
      <formula>"Alto"</formula>
    </cfRule>
    <cfRule type="cellIs" dxfId="81" priority="19" operator="equal">
      <formula>"Moderado"</formula>
    </cfRule>
    <cfRule type="cellIs" dxfId="80" priority="20" operator="equal">
      <formula>"Bajo"</formula>
    </cfRule>
  </conditionalFormatting>
  <conditionalFormatting sqref="AM28:AM30">
    <cfRule type="cellIs" dxfId="79" priority="7" operator="equal">
      <formula>#REF!</formula>
    </cfRule>
    <cfRule type="cellIs" dxfId="78" priority="8" operator="equal">
      <formula>#REF!</formula>
    </cfRule>
  </conditionalFormatting>
  <conditionalFormatting sqref="AM28:AN30">
    <cfRule type="cellIs" dxfId="77" priority="6" stopIfTrue="1" operator="equal">
      <formula>#REF!</formula>
    </cfRule>
  </conditionalFormatting>
  <conditionalFormatting sqref="AN15:AN25">
    <cfRule type="cellIs" dxfId="76" priority="12" operator="equal">
      <formula>"Catastrófico"</formula>
    </cfRule>
    <cfRule type="cellIs" dxfId="75" priority="13" operator="equal">
      <formula>"Mayor"</formula>
    </cfRule>
    <cfRule type="cellIs" dxfId="74" priority="14" operator="equal">
      <formula>"Moderado"</formula>
    </cfRule>
    <cfRule type="cellIs" dxfId="73" priority="15" operator="equal">
      <formula>"Menor"</formula>
    </cfRule>
    <cfRule type="cellIs" dxfId="72" priority="16" operator="equal">
      <formula>"Leve"</formula>
    </cfRule>
  </conditionalFormatting>
  <conditionalFormatting sqref="AN28:AN30">
    <cfRule type="cellIs" dxfId="71" priority="9" stopIfTrue="1" operator="equal">
      <formula>#REF!</formula>
    </cfRule>
    <cfRule type="cellIs" dxfId="70" priority="10" stopIfTrue="1" operator="equal">
      <formula>#REF!</formula>
    </cfRule>
  </conditionalFormatting>
  <dataValidations count="6">
    <dataValidation type="list" allowBlank="1" showInputMessage="1" showErrorMessage="1" sqref="AY30 AW30 AU30 AD30 AF30:AL30" xr:uid="{2047870E-DB58-4430-B978-A5B5446F0CFD}">
      <formula1>$AU$185:$AU$192</formula1>
    </dataValidation>
    <dataValidation type="list" allowBlank="1" showInputMessage="1" showErrorMessage="1" sqref="O30:Q30" xr:uid="{F5714700-044F-4876-84B9-48042FCF907A}">
      <formula1>$O$185:$O$189</formula1>
    </dataValidation>
    <dataValidation type="list" allowBlank="1" showInputMessage="1" showErrorMessage="1" sqref="R30" xr:uid="{85EB2798-1913-4C82-A2A4-9114EFCF0F58}">
      <formula1>$R$185:$R$189</formula1>
    </dataValidation>
    <dataValidation type="list" allowBlank="1" showInputMessage="1" showErrorMessage="1" sqref="AC30" xr:uid="{5A0F4D1F-CDF9-4D83-A99C-1C5FD43CCFA5}">
      <formula1>$U$185:$U$186</formula1>
    </dataValidation>
    <dataValidation type="list" allowBlank="1" showInputMessage="1" showErrorMessage="1" sqref="N30 AM30:AN30" xr:uid="{21F95CCD-8850-4985-AD63-0A6D14706F43}">
      <formula1>#REF!</formula1>
    </dataValidation>
    <dataValidation type="list" allowBlank="1" showInputMessage="1" showErrorMessage="1" sqref="N28" xr:uid="{0B47A739-87CC-49CF-9F4D-636BDF44EE43}">
      <formula1>$N$185:$N$194</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44829EB-43AB-485A-A9C7-DE8710342773}">
          <x14:formula1>
            <xm:f>LISTA!$R$3:$R$7</xm:f>
          </x14:formula1>
          <xm:sqref>AX15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6313-6C3E-4B0A-BDA9-53D74F6F275D}">
  <sheetPr>
    <tabColor rgb="FFFFCC00"/>
  </sheetPr>
  <dimension ref="B1:T37"/>
  <sheetViews>
    <sheetView topLeftCell="I1" workbookViewId="0">
      <selection activeCell="P8" sqref="P8"/>
    </sheetView>
  </sheetViews>
  <sheetFormatPr baseColWidth="10" defaultRowHeight="15" x14ac:dyDescent="0.25"/>
  <cols>
    <col min="1" max="1" width="4" customWidth="1"/>
    <col min="2" max="2" width="34.140625" customWidth="1"/>
    <col min="3" max="3" width="31.140625" customWidth="1"/>
    <col min="4" max="4" width="30.42578125" customWidth="1"/>
    <col min="5" max="5" width="24.42578125" customWidth="1"/>
    <col min="6" max="6" width="22.85546875" customWidth="1"/>
    <col min="7" max="7" width="37" customWidth="1"/>
    <col min="8" max="8" width="6" customWidth="1"/>
    <col min="9" max="9" width="13.85546875" customWidth="1"/>
    <col min="10" max="10" width="17.28515625" customWidth="1"/>
    <col min="11" max="11" width="5.85546875" customWidth="1"/>
    <col min="13" max="13" width="15.7109375" customWidth="1"/>
    <col min="14" max="14" width="14.85546875" customWidth="1"/>
    <col min="17" max="17" width="24.7109375" customWidth="1"/>
    <col min="18" max="18" width="29.5703125" customWidth="1"/>
  </cols>
  <sheetData>
    <row r="1" spans="2:20" x14ac:dyDescent="0.25">
      <c r="B1" s="657" t="s">
        <v>136</v>
      </c>
      <c r="C1" s="657"/>
      <c r="D1" s="657"/>
      <c r="E1" s="657"/>
      <c r="F1" s="657"/>
      <c r="G1" s="657"/>
      <c r="H1" s="657"/>
      <c r="I1" s="657"/>
      <c r="J1" s="657"/>
      <c r="L1" s="657" t="s">
        <v>138</v>
      </c>
      <c r="M1" s="657"/>
      <c r="N1" s="657"/>
      <c r="O1" s="657"/>
      <c r="P1" s="657"/>
      <c r="Q1" s="657"/>
      <c r="R1" s="657"/>
    </row>
    <row r="2" spans="2:20" ht="59.25" customHeight="1" x14ac:dyDescent="0.25">
      <c r="B2" s="161" t="s">
        <v>537</v>
      </c>
      <c r="C2" s="161" t="s">
        <v>538</v>
      </c>
      <c r="D2" s="160" t="s">
        <v>2</v>
      </c>
      <c r="E2" s="160" t="s">
        <v>314</v>
      </c>
      <c r="F2" s="160" t="s">
        <v>315</v>
      </c>
      <c r="G2" s="284" t="s">
        <v>533</v>
      </c>
      <c r="H2" s="162"/>
      <c r="I2" s="161" t="s">
        <v>228</v>
      </c>
      <c r="J2" s="160" t="s">
        <v>237</v>
      </c>
      <c r="L2" s="159" t="s">
        <v>12</v>
      </c>
      <c r="M2" s="159" t="s">
        <v>16</v>
      </c>
      <c r="N2" s="159" t="s">
        <v>17</v>
      </c>
      <c r="O2" s="159" t="s">
        <v>20</v>
      </c>
      <c r="P2" s="159" t="s">
        <v>23</v>
      </c>
      <c r="Q2" s="159" t="s">
        <v>28</v>
      </c>
      <c r="R2" s="163" t="s">
        <v>534</v>
      </c>
    </row>
    <row r="3" spans="2:20" ht="25.5" x14ac:dyDescent="0.25">
      <c r="B3" t="s">
        <v>217</v>
      </c>
      <c r="C3" s="18" t="s">
        <v>327</v>
      </c>
      <c r="D3" s="116" t="s">
        <v>130</v>
      </c>
      <c r="E3" s="116" t="s">
        <v>311</v>
      </c>
      <c r="F3" t="s">
        <v>223</v>
      </c>
      <c r="G3" s="116" t="s">
        <v>535</v>
      </c>
      <c r="I3" t="s">
        <v>229</v>
      </c>
      <c r="J3" t="s">
        <v>234</v>
      </c>
      <c r="L3" s="2" t="s">
        <v>13</v>
      </c>
      <c r="M3" s="2" t="s">
        <v>9</v>
      </c>
      <c r="N3" s="2" t="s">
        <v>18</v>
      </c>
      <c r="O3" s="2" t="s">
        <v>21</v>
      </c>
      <c r="P3" s="2" t="s">
        <v>24</v>
      </c>
      <c r="Q3" s="2" t="s">
        <v>30</v>
      </c>
      <c r="R3" t="s">
        <v>38</v>
      </c>
    </row>
    <row r="4" spans="2:20" ht="31.5" customHeight="1" x14ac:dyDescent="0.25">
      <c r="B4" t="s">
        <v>214</v>
      </c>
      <c r="C4" s="18" t="s">
        <v>328</v>
      </c>
      <c r="D4" s="116" t="s">
        <v>129</v>
      </c>
      <c r="E4" s="116" t="s">
        <v>312</v>
      </c>
      <c r="F4" t="s">
        <v>216</v>
      </c>
      <c r="G4" s="116" t="s">
        <v>355</v>
      </c>
      <c r="I4" t="s">
        <v>230</v>
      </c>
      <c r="J4" t="s">
        <v>235</v>
      </c>
      <c r="L4" s="2" t="s">
        <v>14</v>
      </c>
      <c r="M4" s="2" t="s">
        <v>8</v>
      </c>
      <c r="N4" s="2" t="s">
        <v>19</v>
      </c>
      <c r="O4" s="2" t="s">
        <v>22</v>
      </c>
      <c r="P4" s="2" t="s">
        <v>25</v>
      </c>
      <c r="Q4" s="2" t="s">
        <v>31</v>
      </c>
      <c r="R4" t="s">
        <v>39</v>
      </c>
    </row>
    <row r="5" spans="2:20" ht="51.75" customHeight="1" x14ac:dyDescent="0.25">
      <c r="B5" t="s">
        <v>215</v>
      </c>
      <c r="C5" s="18" t="s">
        <v>329</v>
      </c>
      <c r="D5" s="116" t="s">
        <v>131</v>
      </c>
      <c r="E5" s="116" t="s">
        <v>313</v>
      </c>
      <c r="F5" t="s">
        <v>224</v>
      </c>
      <c r="G5" s="116" t="s">
        <v>536</v>
      </c>
      <c r="I5" t="s">
        <v>231</v>
      </c>
      <c r="J5" t="s">
        <v>236</v>
      </c>
      <c r="L5" s="2" t="s">
        <v>15</v>
      </c>
      <c r="P5" s="2" t="s">
        <v>26</v>
      </c>
      <c r="Q5" s="2" t="s">
        <v>29</v>
      </c>
    </row>
    <row r="6" spans="2:20" ht="24.75" customHeight="1" x14ac:dyDescent="0.25">
      <c r="B6" t="s">
        <v>216</v>
      </c>
      <c r="C6" s="18" t="s">
        <v>330</v>
      </c>
      <c r="D6" s="116" t="s">
        <v>310</v>
      </c>
      <c r="E6" t="s">
        <v>320</v>
      </c>
      <c r="F6" t="s">
        <v>225</v>
      </c>
      <c r="G6" s="116" t="s">
        <v>122</v>
      </c>
      <c r="I6" t="s">
        <v>232</v>
      </c>
      <c r="J6" t="s">
        <v>575</v>
      </c>
      <c r="P6" s="293" t="s">
        <v>591</v>
      </c>
      <c r="Q6" s="2" t="s">
        <v>133</v>
      </c>
    </row>
    <row r="7" spans="2:20" ht="26.25" customHeight="1" x14ac:dyDescent="0.25">
      <c r="B7" t="s">
        <v>220</v>
      </c>
      <c r="C7" s="18" t="s">
        <v>331</v>
      </c>
      <c r="D7" s="116"/>
      <c r="F7" t="s">
        <v>226</v>
      </c>
      <c r="G7" s="116" t="s">
        <v>123</v>
      </c>
      <c r="I7" t="s">
        <v>575</v>
      </c>
      <c r="Q7" s="2" t="s">
        <v>134</v>
      </c>
    </row>
    <row r="8" spans="2:20" x14ac:dyDescent="0.25">
      <c r="B8" t="s">
        <v>308</v>
      </c>
      <c r="C8" s="18"/>
      <c r="D8" s="116"/>
      <c r="F8" t="s">
        <v>227</v>
      </c>
      <c r="G8" s="116" t="s">
        <v>125</v>
      </c>
    </row>
    <row r="9" spans="2:20" ht="31.5" customHeight="1" x14ac:dyDescent="0.25">
      <c r="B9" t="s">
        <v>326</v>
      </c>
      <c r="C9" s="18"/>
      <c r="D9" s="116"/>
      <c r="G9" s="116" t="s">
        <v>126</v>
      </c>
    </row>
    <row r="10" spans="2:20" x14ac:dyDescent="0.25">
      <c r="B10" t="s">
        <v>218</v>
      </c>
      <c r="C10" s="18"/>
      <c r="D10" s="116"/>
    </row>
    <row r="11" spans="2:20" x14ac:dyDescent="0.25">
      <c r="B11" t="s">
        <v>324</v>
      </c>
      <c r="C11" s="18"/>
      <c r="D11" s="116"/>
      <c r="Q11" t="s">
        <v>213</v>
      </c>
      <c r="R11" t="s">
        <v>222</v>
      </c>
      <c r="S11" t="s">
        <v>228</v>
      </c>
      <c r="T11" t="s">
        <v>237</v>
      </c>
    </row>
    <row r="12" spans="2:20" x14ac:dyDescent="0.25">
      <c r="B12" t="s">
        <v>325</v>
      </c>
      <c r="C12" s="18"/>
      <c r="Q12" t="s">
        <v>221</v>
      </c>
      <c r="R12" t="s">
        <v>223</v>
      </c>
      <c r="S12" t="s">
        <v>229</v>
      </c>
      <c r="T12" t="s">
        <v>234</v>
      </c>
    </row>
    <row r="13" spans="2:20" x14ac:dyDescent="0.25">
      <c r="B13" t="s">
        <v>221</v>
      </c>
      <c r="C13" s="18"/>
      <c r="Q13" t="s">
        <v>214</v>
      </c>
      <c r="R13" t="s">
        <v>216</v>
      </c>
      <c r="S13" t="s">
        <v>230</v>
      </c>
      <c r="T13" t="s">
        <v>235</v>
      </c>
    </row>
    <row r="14" spans="2:20" x14ac:dyDescent="0.25">
      <c r="Q14" t="s">
        <v>215</v>
      </c>
      <c r="R14" t="s">
        <v>224</v>
      </c>
      <c r="S14" t="s">
        <v>231</v>
      </c>
      <c r="T14" t="s">
        <v>236</v>
      </c>
    </row>
    <row r="15" spans="2:20" x14ac:dyDescent="0.25">
      <c r="Q15" t="s">
        <v>216</v>
      </c>
      <c r="R15" t="s">
        <v>225</v>
      </c>
      <c r="S15" t="s">
        <v>232</v>
      </c>
      <c r="T15" t="s">
        <v>233</v>
      </c>
    </row>
    <row r="16" spans="2:20" x14ac:dyDescent="0.25">
      <c r="Q16" t="s">
        <v>217</v>
      </c>
      <c r="R16" t="s">
        <v>226</v>
      </c>
      <c r="S16" t="s">
        <v>233</v>
      </c>
    </row>
    <row r="17" spans="8:18" x14ac:dyDescent="0.25">
      <c r="Q17" t="s">
        <v>218</v>
      </c>
      <c r="R17" t="s">
        <v>227</v>
      </c>
    </row>
    <row r="18" spans="8:18" x14ac:dyDescent="0.25">
      <c r="Q18" t="s">
        <v>219</v>
      </c>
    </row>
    <row r="19" spans="8:18" x14ac:dyDescent="0.25">
      <c r="Q19" t="s">
        <v>220</v>
      </c>
    </row>
    <row r="21" spans="8:18" x14ac:dyDescent="0.25">
      <c r="I21" t="s">
        <v>232</v>
      </c>
    </row>
    <row r="22" spans="8:18" x14ac:dyDescent="0.25">
      <c r="I22" t="s">
        <v>317</v>
      </c>
    </row>
    <row r="23" spans="8:18" x14ac:dyDescent="0.25">
      <c r="I23" t="s">
        <v>229</v>
      </c>
    </row>
    <row r="24" spans="8:18" x14ac:dyDescent="0.25">
      <c r="I24" t="s">
        <v>231</v>
      </c>
    </row>
    <row r="26" spans="8:18" ht="30" x14ac:dyDescent="0.25">
      <c r="I26" s="116" t="s">
        <v>318</v>
      </c>
    </row>
    <row r="27" spans="8:18" x14ac:dyDescent="0.25">
      <c r="I27" t="s">
        <v>319</v>
      </c>
    </row>
    <row r="28" spans="8:18" x14ac:dyDescent="0.25">
      <c r="I28" t="s">
        <v>320</v>
      </c>
    </row>
    <row r="29" spans="8:18" x14ac:dyDescent="0.25">
      <c r="I29" t="s">
        <v>316</v>
      </c>
    </row>
    <row r="30" spans="8:18" x14ac:dyDescent="0.25">
      <c r="I30" t="s">
        <v>575</v>
      </c>
    </row>
    <row r="31" spans="8:18" x14ac:dyDescent="0.25">
      <c r="H31" t="s">
        <v>581</v>
      </c>
      <c r="I31" t="s">
        <v>576</v>
      </c>
    </row>
    <row r="32" spans="8:18" x14ac:dyDescent="0.25">
      <c r="I32" t="s">
        <v>317</v>
      </c>
    </row>
    <row r="33" spans="9:9" x14ac:dyDescent="0.25">
      <c r="I33" t="s">
        <v>577</v>
      </c>
    </row>
    <row r="34" spans="9:9" x14ac:dyDescent="0.25">
      <c r="I34" t="s">
        <v>578</v>
      </c>
    </row>
    <row r="35" spans="9:9" x14ac:dyDescent="0.25">
      <c r="I35" t="s">
        <v>579</v>
      </c>
    </row>
    <row r="36" spans="9:9" x14ac:dyDescent="0.25">
      <c r="I36" t="s">
        <v>580</v>
      </c>
    </row>
    <row r="37" spans="9:9" x14ac:dyDescent="0.25">
      <c r="I37" t="s">
        <v>232</v>
      </c>
    </row>
  </sheetData>
  <mergeCells count="2">
    <mergeCell ref="B1:J1"/>
    <mergeCell ref="L1:R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PORTADA </vt:lpstr>
      <vt:lpstr>CRITERIOS R CORRUPCION</vt:lpstr>
      <vt:lpstr>Mapa final SGI</vt:lpstr>
      <vt:lpstr>Mapa final AU</vt:lpstr>
      <vt:lpstr>Mapa final GC</vt:lpstr>
      <vt:lpstr>Mapa final AM</vt:lpstr>
      <vt:lpstr>Mapa final SI</vt:lpstr>
      <vt:lpstr>Mapa final SST</vt:lpstr>
      <vt:lpstr>LISTA</vt:lpstr>
      <vt:lpstr>Apayo Visual </vt:lpstr>
      <vt:lpstr>Matriz Calor Inherente</vt:lpstr>
      <vt:lpstr>Matriz Calor Residual</vt:lpstr>
      <vt:lpstr>CAMBIOS REGISTRO</vt:lpstr>
      <vt:lpstr>SGI</vt:lpstr>
      <vt:lpstr>Intructivo</vt:lpstr>
      <vt:lpstr>CONTROL DE CAMBIOS REGISTRO </vt:lpstr>
      <vt:lpstr>Listas</vt:lpstr>
      <vt:lpstr>Control de Cambios FORMATO </vt:lpstr>
      <vt:lpstr>Tabla probabilidad</vt:lpstr>
      <vt:lpstr>Tabla Impacto</vt:lpstr>
      <vt:lpstr>Tabla Valoración controles</vt:lpstr>
      <vt:lpstr>Opciones Tratamiento</vt:lpstr>
      <vt:lpstr>Hoja1</vt:lpstr>
      <vt:lpstr>'CAMBIOS REGISTRO'!Área_de_impresión</vt:lpstr>
      <vt:lpstr>'Control de Cambios FORMATO '!Área_de_impresión</vt:lpstr>
      <vt:lpstr>'CAMBIOS REGISTRO'!OLE_LINK2</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 PINTO VALENCIA-Analista de procesos</dc:creator>
  <cp:lastModifiedBy>PLAN DE ACCION</cp:lastModifiedBy>
  <cp:lastPrinted>2020-05-13T01:12:22Z</cp:lastPrinted>
  <dcterms:created xsi:type="dcterms:W3CDTF">2020-03-24T23:12:47Z</dcterms:created>
  <dcterms:modified xsi:type="dcterms:W3CDTF">2025-09-29T02:39:45Z</dcterms:modified>
</cp:coreProperties>
</file>