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5.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6.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tables/table1.xml" ContentType="application/vnd.openxmlformats-officedocument.spreadsheetml.table+xml"/>
  <Override PartName="/xl/drawings/drawing7.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hidePivotFieldList="1" defaultThemeVersion="124226"/>
  <mc:AlternateContent xmlns:mc="http://schemas.openxmlformats.org/markup-compatibility/2006">
    <mc:Choice Requires="x15">
      <x15ac:absPath xmlns:x15ac="http://schemas.microsoft.com/office/spreadsheetml/2010/11/ac" url="https://itceduco-my.sharepoint.com/personal/calidad_itc_edu_co/Documents/1. CALIDAD/RIESGOS/MAPA DE RIESGOS 2026/Matrices de riesgos 2026/Gestión Sistemas Integrado de Aseguramiento/"/>
    </mc:Choice>
  </mc:AlternateContent>
  <xr:revisionPtr revIDLastSave="961" documentId="8_{2EC0733C-C398-48B8-AF58-B3E38F8536D1}" xr6:coauthVersionLast="47" xr6:coauthVersionMax="47" xr10:uidLastSave="{16773962-BE5D-45C8-A8DF-9FE524B2131D}"/>
  <bookViews>
    <workbookView xWindow="-120" yWindow="-120" windowWidth="29040" windowHeight="15840" tabRatio="882" firstSheet="5" activeTab="8" xr2:uid="{00000000-000D-0000-FFFF-FFFF00000000}"/>
  </bookViews>
  <sheets>
    <sheet name="PORTADA " sheetId="22" r:id="rId1"/>
    <sheet name="Mapa final" sheetId="1" state="hidden" r:id="rId2"/>
    <sheet name="CA-Sistema de Gestión Calidad" sheetId="35" r:id="rId3"/>
    <sheet name="SI-Sistema de Gestión Seg-Inf-" sheetId="36" r:id="rId4"/>
    <sheet name="SST- Seguridad Salud Trab-" sheetId="38" r:id="rId5"/>
    <sheet name="AU-Autoevaluación" sheetId="39" r:id="rId6"/>
    <sheet name="Datos" sheetId="32" state="hidden" r:id="rId7"/>
    <sheet name="Formulas" sheetId="28" state="hidden" r:id="rId8"/>
    <sheet name="AM-Sistema Gestión Ambiental " sheetId="37" r:id="rId9"/>
    <sheet name="CRITERIOS R CORRUPCION" sheetId="27" r:id="rId10"/>
    <sheet name="Apayo Visual " sheetId="31" r:id="rId11"/>
    <sheet name="eliminar" sheetId="30" state="hidden" r:id="rId12"/>
    <sheet name="Matriz Calor Inherente" sheetId="18" r:id="rId13"/>
    <sheet name="Matriz Calor Residual" sheetId="19" r:id="rId14"/>
    <sheet name="CAMBIOS REGISTRO" sheetId="25" state="hidden" r:id="rId15"/>
    <sheet name="SGI" sheetId="24" state="hidden" r:id="rId16"/>
    <sheet name="Intructivo" sheetId="20" r:id="rId17"/>
    <sheet name="CONTROL DE CAMBIOS REGISTRO " sheetId="23" state="hidden" r:id="rId18"/>
    <sheet name="Listas" sheetId="21" state="hidden" r:id="rId19"/>
    <sheet name="Hoja3" sheetId="29" state="hidden" r:id="rId20"/>
    <sheet name="Control de Cambios FORMATO " sheetId="26" r:id="rId21"/>
    <sheet name="Tabla probabilidad" sheetId="12" r:id="rId22"/>
    <sheet name="Tabla Impacto" sheetId="13" r:id="rId23"/>
    <sheet name="Tabla Valoración controles" sheetId="15" r:id="rId24"/>
    <sheet name="Hoja4" sheetId="34" r:id="rId25"/>
    <sheet name="Hoja2" sheetId="33" state="hidden" r:id="rId26"/>
    <sheet name="Opciones Tratamiento" sheetId="16" state="hidden" r:id="rId27"/>
    <sheet name="Hoja1" sheetId="11" state="hidden" r:id="rId28"/>
  </sheets>
  <definedNames>
    <definedName name="A_Obj1" localSheetId="14">OFFSET(#REF!,0,0,COUNTA(#REF!)-1,1)</definedName>
    <definedName name="A_Obj1" localSheetId="20">OFFSET(#REF!,0,0,COUNTA(#REF!)-1,1)</definedName>
    <definedName name="A_Obj1">OFFSET(#REF!,0,0,COUNTA(#REF!)-1,1)</definedName>
    <definedName name="A_Obj2" localSheetId="14">OFFSET(#REF!,0,0,COUNTA(#REF!)-1,1)</definedName>
    <definedName name="A_Obj2" localSheetId="20">OFFSET(#REF!,0,0,COUNTA(#REF!)-1,1)</definedName>
    <definedName name="A_Obj2">OFFSET(#REF!,0,0,COUNTA(#REF!)-1,1)</definedName>
    <definedName name="A_Obj3" localSheetId="14">OFFSET(#REF!,0,0,COUNTA(#REF!)-1,1)</definedName>
    <definedName name="A_Obj3" localSheetId="20">OFFSET(#REF!,0,0,COUNTA(#REF!)-1,1)</definedName>
    <definedName name="A_Obj3">OFFSET(#REF!,0,0,COUNTA(#REF!)-1,1)</definedName>
    <definedName name="A_Obj4" localSheetId="14">OFFSET(#REF!,0,0,COUNTA(#REF!)-1,1)</definedName>
    <definedName name="A_Obj4" localSheetId="20">OFFSET(#REF!,0,0,COUNTA(#REF!)-1,1)</definedName>
    <definedName name="A_Obj4">OFFSET(#REF!,0,0,COUNTA(#REF!)-1,1)</definedName>
    <definedName name="Acc_1" localSheetId="14">#REF!</definedName>
    <definedName name="Acc_1" localSheetId="20">#REF!</definedName>
    <definedName name="Acc_1">#REF!</definedName>
    <definedName name="Acc_2" localSheetId="14">#REF!</definedName>
    <definedName name="Acc_2" localSheetId="20">#REF!</definedName>
    <definedName name="Acc_2">#REF!</definedName>
    <definedName name="Acc_3" localSheetId="14">#REF!</definedName>
    <definedName name="Acc_3" localSheetId="20">#REF!</definedName>
    <definedName name="Acc_3">#REF!</definedName>
    <definedName name="Acc_4" localSheetId="14">#REF!</definedName>
    <definedName name="Acc_4" localSheetId="20">#REF!</definedName>
    <definedName name="Acc_4">#REF!</definedName>
    <definedName name="Acc_5" localSheetId="14">#REF!</definedName>
    <definedName name="Acc_5" localSheetId="20">#REF!</definedName>
    <definedName name="Acc_5">#REF!</definedName>
    <definedName name="Acc_6" localSheetId="14">#REF!</definedName>
    <definedName name="Acc_6" localSheetId="20">#REF!</definedName>
    <definedName name="Acc_6">#REF!</definedName>
    <definedName name="Acc_7" localSheetId="14">#REF!</definedName>
    <definedName name="Acc_7" localSheetId="20">#REF!</definedName>
    <definedName name="Acc_7">#REF!</definedName>
    <definedName name="Acc_8" localSheetId="14">#REF!</definedName>
    <definedName name="Acc_8" localSheetId="20">#REF!</definedName>
    <definedName name="Acc_8">#REF!</definedName>
    <definedName name="Acc_9" localSheetId="14">#REF!</definedName>
    <definedName name="Acc_9" localSheetId="20">#REF!</definedName>
    <definedName name="Acc_9">#REF!</definedName>
    <definedName name="_xlnm.Print_Area" localSheetId="14">'CAMBIOS REGISTRO'!$A$1:$E$23</definedName>
    <definedName name="_xlnm.Print_Area" localSheetId="20">'Control de Cambios FORMATO '!$A$1:$L$27</definedName>
    <definedName name="Causafactor3">#REF!</definedName>
    <definedName name="ControlTipo">#REF!</definedName>
    <definedName name="Criterios_Impacto">Criterios[Criterios_Impacto]</definedName>
    <definedName name="Departamentos" localSheetId="14">#REF!</definedName>
    <definedName name="Departamentos" localSheetId="20">#REF!</definedName>
    <definedName name="Departamentos">#REF!</definedName>
    <definedName name="Fuentes" localSheetId="14">#REF!</definedName>
    <definedName name="Fuentes" localSheetId="20">#REF!</definedName>
    <definedName name="Fuentes">#REF!</definedName>
    <definedName name="Indicadores" localSheetId="14">#REF!</definedName>
    <definedName name="Indicadores" localSheetId="20">#REF!</definedName>
    <definedName name="Indicadores">#REF!</definedName>
    <definedName name="No_aplica" localSheetId="20">#REF!</definedName>
    <definedName name="No_aplica">#REF!</definedName>
    <definedName name="Objetivos" localSheetId="14">OFFSET(#REF!,0,0,COUNTA(#REF!)-1,1)</definedName>
    <definedName name="Objetivos" localSheetId="20">OFFSET(#REF!,0,0,COUNTA(#REF!)-1,1)</definedName>
    <definedName name="Objetivos">OFFSET(#REF!,0,0,COUNTA(#REF!)-1,1)</definedName>
    <definedName name="OLE_LINK2" localSheetId="14">'CAMBIOS REGISTRO'!$A$1</definedName>
    <definedName name="Posibilidad">#REF!</definedName>
    <definedName name="RiesgoClase3">#REF!</definedName>
    <definedName name="SiNo">#REF!</definedName>
  </definedNames>
  <calcPr calcId="191028"/>
  <pivotCaches>
    <pivotCache cacheId="463" r:id="rId2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7" i="37" l="1"/>
  <c r="AG16" i="37"/>
  <c r="AH16" i="37" s="1"/>
  <c r="AL16" i="37" s="1"/>
  <c r="AJ16" i="37"/>
  <c r="AK16" i="37"/>
  <c r="AG17" i="37"/>
  <c r="AH17" i="37" s="1"/>
  <c r="AL17" i="37" s="1"/>
  <c r="AI17" i="37"/>
  <c r="AK17" i="37"/>
  <c r="AJ17" i="37" s="1"/>
  <c r="AB16" i="37"/>
  <c r="AB17" i="37"/>
  <c r="AI16" i="37" l="1"/>
  <c r="AG18" i="37" l="1"/>
  <c r="Y18" i="37"/>
  <c r="AK18" i="37" s="1"/>
  <c r="AJ18" i="37" s="1"/>
  <c r="AB18" i="37"/>
  <c r="AG31" i="37"/>
  <c r="AK19" i="37"/>
  <c r="AJ19" i="37" s="1"/>
  <c r="AL19" i="37" s="1"/>
  <c r="AH19" i="37"/>
  <c r="AI19" i="37"/>
  <c r="AH20" i="37"/>
  <c r="AI20" i="37"/>
  <c r="AK20" i="37"/>
  <c r="AJ20" i="37" s="1"/>
  <c r="AL20" i="37" s="1"/>
  <c r="AH21" i="37"/>
  <c r="AI21" i="37"/>
  <c r="AK21" i="37"/>
  <c r="AJ21" i="37" s="1"/>
  <c r="AL21" i="37" s="1"/>
  <c r="AH22" i="37"/>
  <c r="AI22" i="37"/>
  <c r="AK22" i="37"/>
  <c r="AJ22" i="37" s="1"/>
  <c r="AL22" i="37" s="1"/>
  <c r="AB15" i="37"/>
  <c r="Y15" i="37"/>
  <c r="S17" i="37"/>
  <c r="T17" i="37" s="1"/>
  <c r="S19" i="37"/>
  <c r="T19" i="37" s="1"/>
  <c r="S21" i="37"/>
  <c r="T21" i="37" s="1"/>
  <c r="U21" i="37"/>
  <c r="S15" i="37"/>
  <c r="P37" i="39"/>
  <c r="AB32" i="39"/>
  <c r="Y32" i="39"/>
  <c r="AG32" i="39" s="1"/>
  <c r="AH32" i="39" s="1"/>
  <c r="AB31" i="39"/>
  <c r="Y31" i="39"/>
  <c r="AK31" i="39" s="1"/>
  <c r="AJ31" i="39" s="1"/>
  <c r="S31" i="39"/>
  <c r="T31" i="39" s="1"/>
  <c r="P31" i="39"/>
  <c r="AB30" i="39"/>
  <c r="Y30" i="39"/>
  <c r="AB29" i="39"/>
  <c r="Y29" i="39"/>
  <c r="S29" i="39"/>
  <c r="T29" i="39" s="1"/>
  <c r="P29" i="39"/>
  <c r="AB28" i="39"/>
  <c r="Y28" i="39"/>
  <c r="AB27" i="39"/>
  <c r="Y27" i="39"/>
  <c r="S27" i="39"/>
  <c r="T27" i="39" s="1"/>
  <c r="P27" i="39"/>
  <c r="Q27" i="39" s="1"/>
  <c r="AB26" i="39"/>
  <c r="Y26" i="39"/>
  <c r="AK26" i="39" s="1"/>
  <c r="AJ26" i="39" s="1"/>
  <c r="AB25" i="39"/>
  <c r="Y25" i="39"/>
  <c r="AK25" i="39" s="1"/>
  <c r="AJ25" i="39" s="1"/>
  <c r="S25" i="39"/>
  <c r="T25" i="39" s="1"/>
  <c r="P25" i="39"/>
  <c r="U25" i="39" s="1"/>
  <c r="AB24" i="39"/>
  <c r="Y24" i="39"/>
  <c r="AK24" i="39" s="1"/>
  <c r="AJ24" i="39" s="1"/>
  <c r="AB23" i="39"/>
  <c r="Y23" i="39"/>
  <c r="AK23" i="39" s="1"/>
  <c r="AJ23" i="39" s="1"/>
  <c r="S23" i="39"/>
  <c r="T23" i="39" s="1"/>
  <c r="P23" i="39"/>
  <c r="AB22" i="39"/>
  <c r="Y22" i="39"/>
  <c r="AB21" i="39"/>
  <c r="Y21" i="39"/>
  <c r="S21" i="39"/>
  <c r="T21" i="39" s="1"/>
  <c r="P21" i="39"/>
  <c r="AB20" i="39"/>
  <c r="Y20" i="39"/>
  <c r="AK19" i="39"/>
  <c r="AJ19" i="39" s="1"/>
  <c r="S19" i="39"/>
  <c r="T19" i="39" s="1"/>
  <c r="P19" i="39"/>
  <c r="Q19" i="39" s="1"/>
  <c r="AK18" i="39"/>
  <c r="AJ18" i="39" s="1"/>
  <c r="AG18" i="39"/>
  <c r="AB17" i="39"/>
  <c r="Y17" i="39"/>
  <c r="S17" i="39"/>
  <c r="T17" i="39" s="1"/>
  <c r="P17" i="39"/>
  <c r="AB16" i="39"/>
  <c r="Y16" i="39"/>
  <c r="AB15" i="39"/>
  <c r="Y15" i="39"/>
  <c r="S15" i="39"/>
  <c r="T15" i="39" s="1"/>
  <c r="AK15" i="39" s="1"/>
  <c r="AJ15" i="39" s="1"/>
  <c r="P15" i="39"/>
  <c r="Q15" i="39" s="1"/>
  <c r="AG15" i="39" s="1"/>
  <c r="AG16" i="36"/>
  <c r="AG18" i="36"/>
  <c r="AG20" i="36"/>
  <c r="P19" i="36"/>
  <c r="P17" i="36"/>
  <c r="Q17" i="36" s="1"/>
  <c r="AG17" i="36" s="1"/>
  <c r="P15" i="36"/>
  <c r="Y15" i="36"/>
  <c r="AB15" i="36"/>
  <c r="Y16" i="36"/>
  <c r="AB16" i="36"/>
  <c r="Y17" i="36"/>
  <c r="AB17" i="36"/>
  <c r="Y19" i="36"/>
  <c r="AB19" i="36"/>
  <c r="P37" i="36"/>
  <c r="AB32" i="36"/>
  <c r="Y32" i="36"/>
  <c r="AG32" i="36" s="1"/>
  <c r="AH32" i="36" s="1"/>
  <c r="AB31" i="36"/>
  <c r="Y31" i="36"/>
  <c r="AK31" i="36" s="1"/>
  <c r="AJ31" i="36" s="1"/>
  <c r="S31" i="36"/>
  <c r="T31" i="36" s="1"/>
  <c r="Q31" i="36"/>
  <c r="P31" i="36"/>
  <c r="U31" i="36" s="1"/>
  <c r="AK30" i="36"/>
  <c r="AJ30" i="36"/>
  <c r="AG30" i="36"/>
  <c r="AI30" i="36" s="1"/>
  <c r="AB30" i="36"/>
  <c r="Y30" i="36"/>
  <c r="AK29" i="36"/>
  <c r="AJ29" i="36"/>
  <c r="AG29" i="36"/>
  <c r="AI29" i="36" s="1"/>
  <c r="AB29" i="36"/>
  <c r="Y29" i="36"/>
  <c r="S29" i="36"/>
  <c r="T29" i="36" s="1"/>
  <c r="Q29" i="36"/>
  <c r="P29" i="36"/>
  <c r="U29" i="36" s="1"/>
  <c r="AK28" i="36"/>
  <c r="AJ28" i="36" s="1"/>
  <c r="AG28" i="36"/>
  <c r="AH28" i="36" s="1"/>
  <c r="AL28" i="36" s="1"/>
  <c r="AB28" i="36"/>
  <c r="Y28" i="36"/>
  <c r="AK27" i="36"/>
  <c r="AJ27" i="36" s="1"/>
  <c r="AG27" i="36"/>
  <c r="AH27" i="36" s="1"/>
  <c r="AL27" i="36" s="1"/>
  <c r="AB27" i="36"/>
  <c r="Y27" i="36"/>
  <c r="T27" i="36"/>
  <c r="S27" i="36"/>
  <c r="P27" i="36"/>
  <c r="Q27" i="36" s="1"/>
  <c r="AB26" i="36"/>
  <c r="Y26" i="36"/>
  <c r="AK26" i="36" s="1"/>
  <c r="AJ26" i="36" s="1"/>
  <c r="AB25" i="36"/>
  <c r="Y25" i="36"/>
  <c r="AK25" i="36" s="1"/>
  <c r="AJ25" i="36" s="1"/>
  <c r="T25" i="36"/>
  <c r="S25" i="36"/>
  <c r="P25" i="36"/>
  <c r="U25" i="36" s="1"/>
  <c r="AB24" i="36"/>
  <c r="Y24" i="36"/>
  <c r="AK24" i="36" s="1"/>
  <c r="AJ24" i="36" s="1"/>
  <c r="AB23" i="36"/>
  <c r="Y23" i="36"/>
  <c r="AK23" i="36" s="1"/>
  <c r="AJ23" i="36" s="1"/>
  <c r="S23" i="36"/>
  <c r="T23" i="36" s="1"/>
  <c r="Q23" i="36"/>
  <c r="P23" i="36"/>
  <c r="U23" i="36" s="1"/>
  <c r="AK22" i="36"/>
  <c r="AJ22" i="36"/>
  <c r="AG22" i="36"/>
  <c r="AI22" i="36" s="1"/>
  <c r="AB22" i="36"/>
  <c r="Y22" i="36"/>
  <c r="AK21" i="36"/>
  <c r="AJ21" i="36"/>
  <c r="AG21" i="36"/>
  <c r="AI21" i="36" s="1"/>
  <c r="AB21" i="36"/>
  <c r="Y21" i="36"/>
  <c r="S21" i="36"/>
  <c r="T21" i="36" s="1"/>
  <c r="Q21" i="36"/>
  <c r="P21" i="36"/>
  <c r="U21" i="36" s="1"/>
  <c r="AK20" i="36"/>
  <c r="AJ20" i="36" s="1"/>
  <c r="AH20" i="36"/>
  <c r="AB20" i="36"/>
  <c r="Y20" i="36"/>
  <c r="AK19" i="36"/>
  <c r="AJ19" i="36" s="1"/>
  <c r="S19" i="36"/>
  <c r="T19" i="36" s="1"/>
  <c r="Q19" i="36"/>
  <c r="AK18" i="36"/>
  <c r="AJ18" i="36" s="1"/>
  <c r="AI18" i="36"/>
  <c r="S17" i="36"/>
  <c r="T17" i="36" s="1"/>
  <c r="AK17" i="36" s="1"/>
  <c r="AJ17" i="36" s="1"/>
  <c r="AK16" i="36"/>
  <c r="AJ16" i="36" s="1"/>
  <c r="AH16" i="36"/>
  <c r="S15" i="36"/>
  <c r="T15" i="36" s="1"/>
  <c r="AK15" i="36" s="1"/>
  <c r="AJ15" i="36" s="1"/>
  <c r="P37" i="38"/>
  <c r="AB32" i="38"/>
  <c r="Y32" i="38"/>
  <c r="AG32" i="38" s="1"/>
  <c r="AH32" i="38" s="1"/>
  <c r="AB31" i="38"/>
  <c r="Y31" i="38"/>
  <c r="AK31" i="38" s="1"/>
  <c r="AJ31" i="38" s="1"/>
  <c r="S31" i="38"/>
  <c r="T31" i="38" s="1"/>
  <c r="P31" i="38"/>
  <c r="U31" i="38" s="1"/>
  <c r="AB30" i="38"/>
  <c r="Y30" i="38"/>
  <c r="AK30" i="38" s="1"/>
  <c r="AJ30" i="38" s="1"/>
  <c r="AG29" i="38"/>
  <c r="AI29" i="38" s="1"/>
  <c r="AB29" i="38"/>
  <c r="Y29" i="38"/>
  <c r="AK29" i="38" s="1"/>
  <c r="AJ29" i="38" s="1"/>
  <c r="S29" i="38"/>
  <c r="T29" i="38" s="1"/>
  <c r="Q29" i="38"/>
  <c r="P29" i="38"/>
  <c r="AK28" i="38"/>
  <c r="AJ28" i="38" s="1"/>
  <c r="AG28" i="38"/>
  <c r="AI28" i="38" s="1"/>
  <c r="AB28" i="38"/>
  <c r="Y28" i="38"/>
  <c r="AK27" i="38"/>
  <c r="AJ27" i="38" s="1"/>
  <c r="AG27" i="38"/>
  <c r="AI27" i="38" s="1"/>
  <c r="AB27" i="38"/>
  <c r="Y27" i="38"/>
  <c r="T27" i="38"/>
  <c r="S27" i="38"/>
  <c r="P27" i="38"/>
  <c r="Q27" i="38" s="1"/>
  <c r="AB26" i="38"/>
  <c r="Y26" i="38"/>
  <c r="AK26" i="38" s="1"/>
  <c r="AJ26" i="38" s="1"/>
  <c r="AB25" i="38"/>
  <c r="Y25" i="38"/>
  <c r="AK25" i="38" s="1"/>
  <c r="AJ25" i="38" s="1"/>
  <c r="S25" i="38"/>
  <c r="T25" i="38" s="1"/>
  <c r="P25" i="38"/>
  <c r="Q25" i="38" s="1"/>
  <c r="AB24" i="38"/>
  <c r="Y24" i="38"/>
  <c r="AK24" i="38" s="1"/>
  <c r="AJ24" i="38" s="1"/>
  <c r="AB23" i="38"/>
  <c r="Y23" i="38"/>
  <c r="AK23" i="38" s="1"/>
  <c r="AJ23" i="38" s="1"/>
  <c r="S23" i="38"/>
  <c r="T23" i="38" s="1"/>
  <c r="Q23" i="38"/>
  <c r="P23" i="38"/>
  <c r="AG22" i="38"/>
  <c r="AI22" i="38" s="1"/>
  <c r="AB22" i="38"/>
  <c r="Y22" i="38"/>
  <c r="AK22" i="38" s="1"/>
  <c r="AJ22" i="38" s="1"/>
  <c r="AB21" i="38"/>
  <c r="Y21" i="38"/>
  <c r="AG21" i="38" s="1"/>
  <c r="AI21" i="38" s="1"/>
  <c r="S21" i="38"/>
  <c r="T21" i="38" s="1"/>
  <c r="P21" i="38"/>
  <c r="Q21" i="38" s="1"/>
  <c r="AB20" i="38"/>
  <c r="Y20" i="38"/>
  <c r="AG20" i="38" s="1"/>
  <c r="AI20" i="38" s="1"/>
  <c r="AB19" i="38"/>
  <c r="Y19" i="38"/>
  <c r="AK19" i="38" s="1"/>
  <c r="AJ19" i="38" s="1"/>
  <c r="S19" i="38"/>
  <c r="T19" i="38" s="1"/>
  <c r="AK20" i="38" s="1"/>
  <c r="AJ20" i="38" s="1"/>
  <c r="P19" i="38"/>
  <c r="Q19" i="38" s="1"/>
  <c r="AB17" i="38"/>
  <c r="Y17" i="38"/>
  <c r="S17" i="38"/>
  <c r="T17" i="38" s="1"/>
  <c r="P17" i="38"/>
  <c r="Q17" i="38" s="1"/>
  <c r="AB16" i="38"/>
  <c r="Y16" i="38"/>
  <c r="AB15" i="38"/>
  <c r="Y15" i="38"/>
  <c r="AK15" i="38" s="1"/>
  <c r="AJ15" i="38" s="1"/>
  <c r="S15" i="38"/>
  <c r="T15" i="38" s="1"/>
  <c r="P15" i="38"/>
  <c r="U15" i="38" s="1"/>
  <c r="P15" i="35"/>
  <c r="AI16" i="35"/>
  <c r="AI17" i="35"/>
  <c r="AI18" i="35"/>
  <c r="AI20" i="35"/>
  <c r="AI21" i="35"/>
  <c r="AI22" i="35"/>
  <c r="AI23" i="35"/>
  <c r="AI24" i="35"/>
  <c r="AI25" i="35"/>
  <c r="AI26" i="35"/>
  <c r="AI27" i="35"/>
  <c r="AI28" i="35"/>
  <c r="AI29" i="35"/>
  <c r="AI30" i="35"/>
  <c r="AI31" i="35"/>
  <c r="AG16" i="35"/>
  <c r="AG17" i="35"/>
  <c r="AG18" i="35"/>
  <c r="AG20" i="35"/>
  <c r="AG21" i="35"/>
  <c r="AG22" i="35"/>
  <c r="AH22" i="35" s="1"/>
  <c r="AL22" i="35" s="1"/>
  <c r="AG23" i="35"/>
  <c r="AG24" i="35"/>
  <c r="AG25" i="35"/>
  <c r="AG26" i="35"/>
  <c r="AG27" i="35"/>
  <c r="AG28" i="35"/>
  <c r="AG29" i="35"/>
  <c r="AG30" i="35"/>
  <c r="AG31" i="35"/>
  <c r="AG32" i="35"/>
  <c r="AG15" i="1"/>
  <c r="AI15" i="1" s="1"/>
  <c r="AK19" i="35"/>
  <c r="AJ19" i="35" s="1"/>
  <c r="AK20" i="35"/>
  <c r="AK21" i="35"/>
  <c r="AK22" i="35"/>
  <c r="AJ22" i="35" s="1"/>
  <c r="AK23" i="35"/>
  <c r="AK24" i="35"/>
  <c r="AK25" i="35"/>
  <c r="AK26" i="35"/>
  <c r="AJ26" i="35" s="1"/>
  <c r="AK27" i="35"/>
  <c r="AK28" i="35"/>
  <c r="AK29" i="35"/>
  <c r="AK30" i="35"/>
  <c r="AJ30" i="35" s="1"/>
  <c r="AK31" i="35"/>
  <c r="AJ31" i="35" s="1"/>
  <c r="AK32" i="35"/>
  <c r="AJ20" i="35"/>
  <c r="AH21" i="35"/>
  <c r="AL21" i="35" s="1"/>
  <c r="AH23" i="35"/>
  <c r="AL23" i="35" s="1"/>
  <c r="AH24" i="35"/>
  <c r="AL24" i="35" s="1"/>
  <c r="AH25" i="35"/>
  <c r="AL25" i="35" s="1"/>
  <c r="AH26" i="35"/>
  <c r="AL26" i="35" s="1"/>
  <c r="AH27" i="35"/>
  <c r="AL27" i="35" s="1"/>
  <c r="AH28" i="35"/>
  <c r="AL28" i="35" s="1"/>
  <c r="AH29" i="35"/>
  <c r="AL29" i="35" s="1"/>
  <c r="AH30" i="35"/>
  <c r="AL30" i="35" s="1"/>
  <c r="AH31" i="35"/>
  <c r="AL31" i="35" s="1"/>
  <c r="AH32" i="35"/>
  <c r="AL32" i="35" s="1"/>
  <c r="AJ21" i="35"/>
  <c r="AJ23" i="35"/>
  <c r="AJ24" i="35"/>
  <c r="AJ25" i="35"/>
  <c r="AJ27" i="35"/>
  <c r="AJ28" i="35"/>
  <c r="AJ29" i="35"/>
  <c r="AJ32" i="35"/>
  <c r="AH20" i="35"/>
  <c r="AB17" i="35"/>
  <c r="AB18" i="35"/>
  <c r="AB19" i="35"/>
  <c r="AB20" i="35"/>
  <c r="AB21" i="35"/>
  <c r="AB22" i="35"/>
  <c r="AB23" i="35"/>
  <c r="AB24" i="35"/>
  <c r="AB25" i="35"/>
  <c r="AB26" i="35"/>
  <c r="AB27" i="35"/>
  <c r="AB28" i="35"/>
  <c r="AB29" i="35"/>
  <c r="AB30" i="35"/>
  <c r="AB31" i="35"/>
  <c r="AB32" i="35"/>
  <c r="Y19" i="35"/>
  <c r="Y20" i="35"/>
  <c r="Y21" i="35"/>
  <c r="Y22" i="35"/>
  <c r="Y23" i="35"/>
  <c r="Y24" i="35"/>
  <c r="Y25" i="35"/>
  <c r="Y26" i="35"/>
  <c r="Y27" i="35"/>
  <c r="Y28" i="35"/>
  <c r="Y29" i="35"/>
  <c r="Y30" i="35"/>
  <c r="Y31" i="35"/>
  <c r="Y32" i="35"/>
  <c r="Y15" i="35"/>
  <c r="Y16" i="35"/>
  <c r="S19" i="35"/>
  <c r="T19" i="35"/>
  <c r="S21" i="35"/>
  <c r="T21" i="35"/>
  <c r="U21" i="35"/>
  <c r="S23" i="35"/>
  <c r="T23" i="35"/>
  <c r="U23" i="35"/>
  <c r="S25" i="35"/>
  <c r="T25" i="35"/>
  <c r="U25" i="35"/>
  <c r="S27" i="35"/>
  <c r="T27" i="35"/>
  <c r="U27" i="35"/>
  <c r="S29" i="35"/>
  <c r="T29" i="35"/>
  <c r="U29" i="35"/>
  <c r="S31" i="35"/>
  <c r="T31" i="35"/>
  <c r="U31" i="35"/>
  <c r="P37" i="37"/>
  <c r="AK32" i="37"/>
  <c r="AJ32" i="37" s="1"/>
  <c r="AK31" i="37"/>
  <c r="AJ31" i="37" s="1"/>
  <c r="S31" i="37"/>
  <c r="T31" i="37" s="1"/>
  <c r="P31" i="37"/>
  <c r="U31" i="37" s="1"/>
  <c r="P29" i="37"/>
  <c r="Q29" i="37" s="1"/>
  <c r="Q27" i="37"/>
  <c r="P27" i="37"/>
  <c r="P25" i="37"/>
  <c r="Q25" i="37" s="1"/>
  <c r="Q23" i="37"/>
  <c r="P23" i="37"/>
  <c r="P21" i="37"/>
  <c r="Q21" i="37" s="1"/>
  <c r="P19" i="37"/>
  <c r="Q19" i="37" s="1"/>
  <c r="P17" i="37"/>
  <c r="Q17" i="37" s="1"/>
  <c r="P15" i="37"/>
  <c r="Q15" i="37" s="1"/>
  <c r="AG15" i="37" s="1"/>
  <c r="AI15" i="37" s="1"/>
  <c r="P37" i="35"/>
  <c r="P31" i="35"/>
  <c r="P29" i="35"/>
  <c r="Q29" i="35" s="1"/>
  <c r="P27" i="35"/>
  <c r="Q27" i="35" s="1"/>
  <c r="Q25" i="35"/>
  <c r="P25" i="35"/>
  <c r="P23" i="35"/>
  <c r="P21" i="35"/>
  <c r="P19" i="35"/>
  <c r="U19" i="35" s="1"/>
  <c r="Y18" i="35"/>
  <c r="AK18" i="35" s="1"/>
  <c r="AJ18" i="35" s="1"/>
  <c r="AK17" i="35"/>
  <c r="AJ17" i="35" s="1"/>
  <c r="Y17" i="35"/>
  <c r="S17" i="35"/>
  <c r="T17" i="35" s="1"/>
  <c r="P17" i="35"/>
  <c r="Q17" i="35" s="1"/>
  <c r="AK16" i="35"/>
  <c r="AJ16" i="35" s="1"/>
  <c r="AB16" i="35"/>
  <c r="AK15" i="35"/>
  <c r="AJ15" i="35" s="1"/>
  <c r="AB15" i="35"/>
  <c r="S15" i="35"/>
  <c r="T15" i="35" s="1"/>
  <c r="Q15" i="35"/>
  <c r="AG15" i="35" s="1"/>
  <c r="AI15" i="35" s="1"/>
  <c r="P21" i="1"/>
  <c r="P19" i="1"/>
  <c r="P17" i="1"/>
  <c r="P15" i="1"/>
  <c r="S17" i="1"/>
  <c r="T17" i="1" s="1"/>
  <c r="S19" i="1"/>
  <c r="T19" i="1" s="1"/>
  <c r="S21" i="1"/>
  <c r="T21" i="1" s="1"/>
  <c r="S23" i="1"/>
  <c r="T23" i="1" s="1"/>
  <c r="S25" i="1"/>
  <c r="T25" i="1" s="1"/>
  <c r="S27" i="1"/>
  <c r="T27" i="1" s="1"/>
  <c r="S29" i="1"/>
  <c r="T29" i="1" s="1"/>
  <c r="S31" i="1"/>
  <c r="T31" i="1" s="1"/>
  <c r="S15" i="1"/>
  <c r="T15" i="1" s="1"/>
  <c r="AB15" i="1"/>
  <c r="AB16" i="1"/>
  <c r="AB17" i="1"/>
  <c r="AB24" i="1"/>
  <c r="AB25" i="1"/>
  <c r="AB26" i="1"/>
  <c r="AB27" i="1"/>
  <c r="AB28" i="1"/>
  <c r="AB29" i="1"/>
  <c r="AB30" i="1"/>
  <c r="AB31" i="1"/>
  <c r="AB32" i="1"/>
  <c r="Y17" i="1"/>
  <c r="Y24" i="1"/>
  <c r="Y25" i="1"/>
  <c r="Y26" i="1"/>
  <c r="Y27" i="1"/>
  <c r="Y28" i="1"/>
  <c r="Y29" i="1"/>
  <c r="Y30" i="1"/>
  <c r="Y31" i="1"/>
  <c r="Y32" i="1"/>
  <c r="P23" i="1"/>
  <c r="Q23" i="1" s="1"/>
  <c r="P25" i="1"/>
  <c r="Q25" i="1" s="1"/>
  <c r="P27" i="1"/>
  <c r="P29" i="1"/>
  <c r="P31" i="1"/>
  <c r="AK16" i="39" l="1"/>
  <c r="AJ16" i="39" s="1"/>
  <c r="AG16" i="39"/>
  <c r="AI16" i="39" s="1"/>
  <c r="U17" i="39"/>
  <c r="Q17" i="39"/>
  <c r="AI18" i="39"/>
  <c r="AH18" i="39"/>
  <c r="AL18" i="39" s="1"/>
  <c r="AK20" i="39"/>
  <c r="AJ20" i="39" s="1"/>
  <c r="AG20" i="39"/>
  <c r="AI20" i="39" s="1"/>
  <c r="U21" i="39"/>
  <c r="Q21" i="39"/>
  <c r="AK21" i="39"/>
  <c r="AJ21" i="39" s="1"/>
  <c r="AG21" i="39"/>
  <c r="AI21" i="39" s="1"/>
  <c r="AK22" i="39"/>
  <c r="AJ22" i="39" s="1"/>
  <c r="AG22" i="39"/>
  <c r="AI22" i="39" s="1"/>
  <c r="U23" i="39"/>
  <c r="Q23" i="39"/>
  <c r="AK27" i="39"/>
  <c r="AJ27" i="39" s="1"/>
  <c r="AG27" i="39"/>
  <c r="AI27" i="39" s="1"/>
  <c r="AK28" i="39"/>
  <c r="AJ28" i="39" s="1"/>
  <c r="AG28" i="39"/>
  <c r="AI28" i="39" s="1"/>
  <c r="U29" i="39"/>
  <c r="Q29" i="39"/>
  <c r="AK29" i="39"/>
  <c r="AJ29" i="39" s="1"/>
  <c r="AG29" i="39"/>
  <c r="AI29" i="39" s="1"/>
  <c r="AK30" i="39"/>
  <c r="AJ30" i="39" s="1"/>
  <c r="AG30" i="39"/>
  <c r="AI30" i="39" s="1"/>
  <c r="U31" i="39"/>
  <c r="Q31" i="39"/>
  <c r="AG19" i="36"/>
  <c r="AH15" i="37"/>
  <c r="U15" i="37"/>
  <c r="U19" i="37"/>
  <c r="U17" i="37"/>
  <c r="T15" i="37"/>
  <c r="AK15" i="37" s="1"/>
  <c r="AJ15" i="37" s="1"/>
  <c r="AI15" i="39"/>
  <c r="AH15" i="39"/>
  <c r="AL15" i="39" s="1"/>
  <c r="AK17" i="39"/>
  <c r="AJ17" i="39" s="1"/>
  <c r="AL19" i="39"/>
  <c r="U15" i="39"/>
  <c r="AH16" i="39"/>
  <c r="AL16" i="39" s="1"/>
  <c r="AG17" i="39"/>
  <c r="U19" i="39"/>
  <c r="AH20" i="39"/>
  <c r="AL20" i="39" s="1"/>
  <c r="Q25" i="39"/>
  <c r="U27" i="39"/>
  <c r="AH27" i="39"/>
  <c r="AL27" i="39" s="1"/>
  <c r="AH28" i="39"/>
  <c r="AL28" i="39" s="1"/>
  <c r="AK32" i="39"/>
  <c r="AJ32" i="39" s="1"/>
  <c r="AL32" i="39" s="1"/>
  <c r="AH21" i="39"/>
  <c r="AL21" i="39" s="1"/>
  <c r="AH22" i="39"/>
  <c r="AL22" i="39" s="1"/>
  <c r="AG23" i="39"/>
  <c r="AG24" i="39"/>
  <c r="AH29" i="39"/>
  <c r="AL29" i="39" s="1"/>
  <c r="AH30" i="39"/>
  <c r="AL30" i="39" s="1"/>
  <c r="AG31" i="39"/>
  <c r="AG25" i="39"/>
  <c r="AG26" i="39"/>
  <c r="U19" i="36"/>
  <c r="U15" i="36"/>
  <c r="AI19" i="36"/>
  <c r="U17" i="36"/>
  <c r="AH18" i="36"/>
  <c r="AI17" i="36"/>
  <c r="AH17" i="36"/>
  <c r="AL17" i="36" s="1"/>
  <c r="AL16" i="36"/>
  <c r="AL18" i="36"/>
  <c r="AL20" i="36"/>
  <c r="Q25" i="36"/>
  <c r="U27" i="36"/>
  <c r="AK32" i="36"/>
  <c r="AJ32" i="36" s="1"/>
  <c r="AL32" i="36" s="1"/>
  <c r="Q15" i="36"/>
  <c r="AG15" i="36" s="1"/>
  <c r="AI16" i="36"/>
  <c r="AI20" i="36"/>
  <c r="AH21" i="36"/>
  <c r="AL21" i="36" s="1"/>
  <c r="AH22" i="36"/>
  <c r="AL22" i="36" s="1"/>
  <c r="AG23" i="36"/>
  <c r="AG24" i="36"/>
  <c r="AI27" i="36"/>
  <c r="AI28" i="36"/>
  <c r="AH29" i="36"/>
  <c r="AL29" i="36" s="1"/>
  <c r="AH30" i="36"/>
  <c r="AL30" i="36" s="1"/>
  <c r="AG31" i="36"/>
  <c r="AG25" i="36"/>
  <c r="AG26" i="36"/>
  <c r="AG19" i="38"/>
  <c r="AI19" i="38" s="1"/>
  <c r="AK17" i="38"/>
  <c r="AJ17" i="38" s="1"/>
  <c r="AK18" i="38"/>
  <c r="AJ18" i="38" s="1"/>
  <c r="Q15" i="38"/>
  <c r="AK21" i="38"/>
  <c r="AJ21" i="38" s="1"/>
  <c r="AG30" i="38"/>
  <c r="AI30" i="38" s="1"/>
  <c r="Q31" i="38"/>
  <c r="U23" i="38"/>
  <c r="U29" i="38"/>
  <c r="AK16" i="38"/>
  <c r="AJ16" i="38" s="1"/>
  <c r="U25" i="38"/>
  <c r="U19" i="38"/>
  <c r="AH20" i="38"/>
  <c r="AL20" i="38" s="1"/>
  <c r="U27" i="38"/>
  <c r="AH27" i="38"/>
  <c r="AL27" i="38" s="1"/>
  <c r="AH28" i="38"/>
  <c r="AL28" i="38" s="1"/>
  <c r="AK32" i="38"/>
  <c r="AJ32" i="38" s="1"/>
  <c r="AL32" i="38" s="1"/>
  <c r="U17" i="38"/>
  <c r="AG15" i="38"/>
  <c r="AG16" i="38"/>
  <c r="U21" i="38"/>
  <c r="AH21" i="38"/>
  <c r="AL21" i="38" s="1"/>
  <c r="AH22" i="38"/>
  <c r="AL22" i="38" s="1"/>
  <c r="AG23" i="38"/>
  <c r="AG24" i="38"/>
  <c r="AH29" i="38"/>
  <c r="AL29" i="38" s="1"/>
  <c r="AH30" i="38"/>
  <c r="AL30" i="38" s="1"/>
  <c r="AG31" i="38"/>
  <c r="AG17" i="38"/>
  <c r="AG18" i="38"/>
  <c r="AG25" i="38"/>
  <c r="AG26" i="38"/>
  <c r="AL20" i="35"/>
  <c r="AH17" i="35"/>
  <c r="AL17" i="35" s="1"/>
  <c r="AH15" i="35"/>
  <c r="AL15" i="35" s="1"/>
  <c r="AH16" i="35"/>
  <c r="AL16" i="35" s="1"/>
  <c r="AI31" i="37"/>
  <c r="AH31" i="37"/>
  <c r="AL31" i="37" s="1"/>
  <c r="Q31" i="37"/>
  <c r="AG32" i="37"/>
  <c r="U15" i="35"/>
  <c r="U17" i="35"/>
  <c r="Q19" i="35"/>
  <c r="AG19" i="35" s="1"/>
  <c r="Q23" i="35"/>
  <c r="Q31" i="35"/>
  <c r="Q21" i="35"/>
  <c r="AG24" i="1"/>
  <c r="AK31" i="1"/>
  <c r="AJ31" i="1" s="1"/>
  <c r="AK29" i="1"/>
  <c r="AJ29" i="1" s="1"/>
  <c r="AG25" i="1"/>
  <c r="AI25" i="1" s="1"/>
  <c r="AG26" i="1"/>
  <c r="AI26" i="1" s="1"/>
  <c r="Q29" i="1"/>
  <c r="AG30" i="1" s="1"/>
  <c r="U29" i="1"/>
  <c r="Q27" i="1"/>
  <c r="AG28" i="1" s="1"/>
  <c r="AH28" i="1" s="1"/>
  <c r="U21" i="1"/>
  <c r="Q21" i="1"/>
  <c r="U19" i="1"/>
  <c r="Q19" i="1"/>
  <c r="AK30" i="1"/>
  <c r="AJ30" i="1" s="1"/>
  <c r="AK32" i="1"/>
  <c r="AJ32" i="1" s="1"/>
  <c r="U31" i="1"/>
  <c r="Q31" i="1"/>
  <c r="AG32" i="1" s="1"/>
  <c r="AK25" i="1"/>
  <c r="AJ25" i="1" s="1"/>
  <c r="U25" i="1"/>
  <c r="U23" i="1"/>
  <c r="AE51" i="19"/>
  <c r="AL15" i="37" l="1"/>
  <c r="AH18" i="37"/>
  <c r="AL18" i="37" s="1"/>
  <c r="AI18" i="37"/>
  <c r="AI19" i="35"/>
  <c r="AH19" i="35"/>
  <c r="AL19" i="35" s="1"/>
  <c r="AI25" i="39"/>
  <c r="AH25" i="39"/>
  <c r="AL25" i="39" s="1"/>
  <c r="AH24" i="39"/>
  <c r="AL24" i="39" s="1"/>
  <c r="AI24" i="39"/>
  <c r="AH31" i="39"/>
  <c r="AL31" i="39" s="1"/>
  <c r="AI31" i="39"/>
  <c r="AH23" i="39"/>
  <c r="AL23" i="39" s="1"/>
  <c r="AI23" i="39"/>
  <c r="AH26" i="39"/>
  <c r="AL26" i="39" s="1"/>
  <c r="AI26" i="39"/>
  <c r="AI17" i="39"/>
  <c r="AH17" i="39"/>
  <c r="AL17" i="39" s="1"/>
  <c r="AH19" i="36"/>
  <c r="AL19" i="36" s="1"/>
  <c r="AH15" i="36"/>
  <c r="AL15" i="36" s="1"/>
  <c r="AI15" i="36"/>
  <c r="AI25" i="36"/>
  <c r="AH25" i="36"/>
  <c r="AL25" i="36" s="1"/>
  <c r="AH31" i="36"/>
  <c r="AL31" i="36" s="1"/>
  <c r="AI31" i="36"/>
  <c r="AH24" i="36"/>
  <c r="AL24" i="36" s="1"/>
  <c r="AI24" i="36"/>
  <c r="AH26" i="36"/>
  <c r="AL26" i="36" s="1"/>
  <c r="AI26" i="36"/>
  <c r="AH23" i="36"/>
  <c r="AL23" i="36" s="1"/>
  <c r="AI23" i="36"/>
  <c r="AH19" i="38"/>
  <c r="AL19" i="38" s="1"/>
  <c r="AI17" i="38"/>
  <c r="AH17" i="38"/>
  <c r="AL17" i="38" s="1"/>
  <c r="AH24" i="38"/>
  <c r="AL24" i="38" s="1"/>
  <c r="AI24" i="38"/>
  <c r="AH18" i="38"/>
  <c r="AL18" i="38" s="1"/>
  <c r="AI18" i="38"/>
  <c r="AH23" i="38"/>
  <c r="AL23" i="38" s="1"/>
  <c r="AI23" i="38"/>
  <c r="AH16" i="38"/>
  <c r="AL16" i="38" s="1"/>
  <c r="AI16" i="38"/>
  <c r="AI26" i="38"/>
  <c r="AH26" i="38"/>
  <c r="AL26" i="38" s="1"/>
  <c r="AH31" i="38"/>
  <c r="AL31" i="38" s="1"/>
  <c r="AI31" i="38"/>
  <c r="AH25" i="38"/>
  <c r="AL25" i="38" s="1"/>
  <c r="AI25" i="38"/>
  <c r="AH15" i="38"/>
  <c r="AL15" i="38" s="1"/>
  <c r="AI15" i="38"/>
  <c r="AI32" i="37"/>
  <c r="AH32" i="37"/>
  <c r="AL32" i="37" s="1"/>
  <c r="AH18" i="35"/>
  <c r="AL18" i="35" s="1"/>
  <c r="AH24" i="1"/>
  <c r="AH26" i="1"/>
  <c r="AK26" i="1"/>
  <c r="AJ26" i="1" s="1"/>
  <c r="AL26" i="1" s="1"/>
  <c r="AG31" i="1"/>
  <c r="AH31" i="1" s="1"/>
  <c r="AL31" i="1" s="1"/>
  <c r="AI30" i="1"/>
  <c r="AH30" i="1"/>
  <c r="AL30" i="1" s="1"/>
  <c r="AH32" i="1"/>
  <c r="AL32" i="1" s="1"/>
  <c r="AI32" i="1"/>
  <c r="AG29" i="1"/>
  <c r="AH25" i="1"/>
  <c r="AL25" i="1" s="1"/>
  <c r="AG27" i="1"/>
  <c r="AI27" i="1" s="1"/>
  <c r="AI28" i="1"/>
  <c r="U27" i="1"/>
  <c r="Q15" i="1" l="1"/>
  <c r="U15" i="1"/>
  <c r="AI31" i="1"/>
  <c r="AH27" i="1"/>
  <c r="AG16" i="1"/>
  <c r="AK27" i="1"/>
  <c r="AJ27" i="1" s="1"/>
  <c r="AL27" i="1" s="1"/>
  <c r="AK28" i="1"/>
  <c r="AJ28" i="1" s="1"/>
  <c r="AL28" i="1" s="1"/>
  <c r="AI29" i="1"/>
  <c r="AH29" i="1"/>
  <c r="AL29" i="1" s="1"/>
  <c r="Q17" i="1"/>
  <c r="AN61" i="19"/>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N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N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N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N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N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N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N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N54" i="19"/>
  <c r="M54" i="19"/>
  <c r="L54" i="19"/>
  <c r="K54" i="19"/>
  <c r="AN53" i="19"/>
  <c r="AM53" i="19"/>
  <c r="AL53" i="19"/>
  <c r="AK53" i="19"/>
  <c r="AH53" i="19"/>
  <c r="AG53" i="19"/>
  <c r="AF53" i="19"/>
  <c r="AE53" i="19"/>
  <c r="AB53" i="19"/>
  <c r="AA53" i="19"/>
  <c r="Z53" i="19"/>
  <c r="Y53" i="19"/>
  <c r="V53" i="19"/>
  <c r="U53" i="19"/>
  <c r="T53" i="19"/>
  <c r="S53" i="19"/>
  <c r="P53" i="19"/>
  <c r="O53" i="19"/>
  <c r="N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N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N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N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N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N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N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N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N44" i="19"/>
  <c r="M44" i="19"/>
  <c r="L44" i="19"/>
  <c r="K44" i="19"/>
  <c r="AN43" i="19"/>
  <c r="AM43" i="19"/>
  <c r="AL43" i="19"/>
  <c r="AK43" i="19"/>
  <c r="AH43" i="19"/>
  <c r="AG43" i="19"/>
  <c r="AF43" i="19"/>
  <c r="AE43" i="19"/>
  <c r="AB43" i="19"/>
  <c r="AA43" i="19"/>
  <c r="Z43" i="19"/>
  <c r="Y43" i="19"/>
  <c r="V43" i="19"/>
  <c r="U43" i="19"/>
  <c r="T43" i="19"/>
  <c r="S43" i="19"/>
  <c r="P43" i="19"/>
  <c r="O43" i="19"/>
  <c r="N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N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N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N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N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N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N34" i="19"/>
  <c r="M34" i="19"/>
  <c r="L34" i="19"/>
  <c r="K34" i="19"/>
  <c r="AN33" i="19"/>
  <c r="AM33" i="19"/>
  <c r="AL33" i="19"/>
  <c r="AK33" i="19"/>
  <c r="AH33" i="19"/>
  <c r="AG33" i="19"/>
  <c r="AF33" i="19"/>
  <c r="AE33" i="19"/>
  <c r="AB33" i="19"/>
  <c r="AA33" i="19"/>
  <c r="Z33" i="19"/>
  <c r="Y33" i="19"/>
  <c r="V33" i="19"/>
  <c r="U33" i="19"/>
  <c r="T33" i="19"/>
  <c r="S33" i="19"/>
  <c r="P33" i="19"/>
  <c r="O33" i="19"/>
  <c r="N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N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N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N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N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N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N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N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AN23" i="19"/>
  <c r="AM23" i="19"/>
  <c r="AL23" i="19"/>
  <c r="AK23" i="19"/>
  <c r="AH23" i="19"/>
  <c r="AG23" i="19"/>
  <c r="AF23" i="19"/>
  <c r="AE23" i="19"/>
  <c r="AB23" i="19"/>
  <c r="AA23" i="19"/>
  <c r="Z23" i="19"/>
  <c r="Y23" i="19"/>
  <c r="V23" i="19"/>
  <c r="U23" i="19"/>
  <c r="T23" i="19"/>
  <c r="S23" i="19"/>
  <c r="P23" i="19"/>
  <c r="O23" i="19"/>
  <c r="N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H15" i="1" l="1"/>
  <c r="AH16" i="1"/>
  <c r="AI16" i="1"/>
  <c r="AG17" i="1"/>
  <c r="AI17" i="1" s="1"/>
  <c r="AI53" i="19"/>
  <c r="AN13" i="18"/>
  <c r="AN29" i="18"/>
  <c r="AN37" i="18"/>
  <c r="AN21" i="18"/>
  <c r="AN45" i="18"/>
  <c r="AH17" i="1" l="1"/>
  <c r="F29" i="27"/>
  <c r="E29" i="27"/>
  <c r="G29" i="27" s="1"/>
  <c r="P37"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U17" i="1" l="1"/>
  <c r="L21" i="18"/>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AK18" i="1" l="1"/>
  <c r="AJ18" i="1" s="1"/>
  <c r="AL18" i="1" s="1"/>
  <c r="AK17" i="1"/>
  <c r="AJ17" i="1" s="1"/>
  <c r="M52" i="19" s="1"/>
  <c r="Z43" i="18"/>
  <c r="AK16" i="1"/>
  <c r="AJ16" i="1" s="1"/>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N32" i="19"/>
  <c r="T12" i="19"/>
  <c r="T32" i="19"/>
  <c r="AF32" i="19"/>
  <c r="T22" i="19"/>
  <c r="AF52" i="19"/>
  <c r="N42" i="19"/>
  <c r="AL12" i="19"/>
  <c r="AL32" i="19"/>
  <c r="Z12" i="19"/>
  <c r="N52" i="19"/>
  <c r="AF42" i="19"/>
  <c r="AL52" i="19"/>
  <c r="N12" i="19"/>
  <c r="Z42" i="19"/>
  <c r="AK52" i="19" l="1"/>
  <c r="S42" i="19"/>
  <c r="M42" i="19"/>
  <c r="S32" i="19"/>
  <c r="S22" i="19"/>
  <c r="M32" i="19"/>
  <c r="AE42" i="19"/>
  <c r="AE52" i="19"/>
  <c r="AK32" i="19"/>
  <c r="AK42" i="19"/>
  <c r="M22" i="19"/>
  <c r="AE22" i="19"/>
  <c r="AK22" i="19"/>
  <c r="M12" i="19"/>
  <c r="AE32" i="19"/>
  <c r="AK12" i="19"/>
  <c r="S52" i="19"/>
  <c r="S12" i="19"/>
  <c r="AL17" i="1"/>
  <c r="AE12" i="19"/>
  <c r="AK15" i="1"/>
  <c r="AJ15" i="1" s="1"/>
  <c r="AL15" i="1" s="1"/>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 r="AL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s>
  <commentList>
    <comment ref="F13" authorId="0" shapeId="0" xr:uid="{31DE014E-1502-4058-AF14-D12B122223C2}">
      <text>
        <t>[Threaded comment]
Your version of Excel allows you to read this threaded comment; however, any edits to it will get removed if the file is opened in a newer version of Excel. Learn more: https://go.microsoft.com/fwlink/?linkid=870924
Comment:
    Para el riesgo Fiscal, solo aplica IMPACTO ECONÓMICO</t>
      </text>
    </comment>
    <comment ref="G13" authorId="1" shapeId="0" xr:uid="{7319F458-F751-4993-B913-0ED035E30CF3}">
      <text>
        <t>[Threaded comment]
Your version of Excel allows you to read this threaded comment; however, any edits to it will get removed if the file is opened in a newer version of Excel. Learn more: https://go.microsoft.com/fwlink/?linkid=870924
Comment:
    Aplica para Riesgo FISCAL</t>
      </text>
    </comment>
    <comment ref="K13" authorId="2" shapeId="0" xr:uid="{00000000-0006-0000-0200-000001000000}">
      <text>
        <r>
          <rPr>
            <sz val="11"/>
            <color rgb="FF000000"/>
            <rFont val="Calibri"/>
            <family val="2"/>
          </rPr>
          <t xml:space="preserve">Inicia con el IMPACTO+ Conector (por) Causa(s) Inmediata(s)+ Conector (debido a) Causa(s) Raíz.
</t>
        </r>
        <r>
          <rPr>
            <sz val="11"/>
            <color rgb="FF000000"/>
            <rFont val="Calibri"/>
            <family val="2"/>
          </rPr>
          <t xml:space="preserve">
</t>
        </r>
        <r>
          <rPr>
            <sz val="11"/>
            <color rgb="FF000000"/>
            <rFont val="Calibri"/>
            <family val="2"/>
          </rPr>
          <t xml:space="preserve">Para el riesgo de Corrupción: se debe tener en cuenta: ACCIÓN U OMISIÓN + USO DEL PODER + DESVIACIÓN DE LA GESTIÓN DE
</t>
        </r>
        <r>
          <rPr>
            <sz val="11"/>
            <color rgb="FF000000"/>
            <rFont val="Calibri"/>
            <family val="2"/>
          </rPr>
          <t xml:space="preserve">LO PÚBLICO + EL BENEFICIO PRIVADO. Es decir tener en cuenta los anteriores criterios.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Aplica para riesgo Gestión/Fiscal/Seguridad de la Información: 
</t>
        </r>
        <r>
          <rPr>
            <sz val="11"/>
            <color rgb="FF000000"/>
            <rFont val="Calibri"/>
            <family val="2"/>
          </rPr>
          <t xml:space="preserve">
</t>
        </r>
        <r>
          <rPr>
            <sz val="11"/>
            <color rgb="FF000000"/>
            <rFont val="Calibri"/>
            <family val="2"/>
          </rPr>
          <t xml:space="preserve">Inicia: IMPACTO+ Conector (por) Causa inmediata+ Conector (debido a) Causa Raíz. 
</t>
        </r>
        <r>
          <rPr>
            <sz val="11"/>
            <color rgb="FF000000"/>
            <rFont val="Calibri"/>
            <family val="2"/>
          </rPr>
          <t xml:space="preserve">
</t>
        </r>
        <r>
          <rPr>
            <sz val="11"/>
            <color rgb="FF000000"/>
            <rFont val="Calibri"/>
            <family val="2"/>
          </rPr>
          <t xml:space="preserve">Riesgos de Corrupción; </t>
        </r>
      </text>
    </comment>
    <comment ref="AU13" authorId="3" shapeId="0" xr:uid="{1816B48D-01BB-448B-AFCC-2FEDB756BA42}">
      <text>
        <t xml:space="preserve">[Threaded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 Así como las desviaciones presentadas en la aplicación del control. </t>
      </text>
    </comment>
    <comment ref="AV13" authorId="4" shapeId="0" xr:uid="{8ADAA9EE-5890-4480-85AE-C33717331CF8}">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 ref="AW13" authorId="5" shapeId="0" xr:uid="{975DE72D-945A-4BAE-A64E-E42069A0D1CB}">
      <text>
        <t>[Threaded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t>
      </text>
    </comment>
    <comment ref="AX13" authorId="6" shapeId="0" xr:uid="{837D0758-B511-4B9B-885F-44B15625A2B0}">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tc={ADB93C8A-D80F-4A34-A7D9-462BEF894519}</author>
    <author>tc={79ACF03E-3B68-45BD-95C8-15DF7E41F74C}</author>
    <author>Calidad ETITC</author>
    <author>tc={55BE3DF5-82DB-4FB6-ABFF-279924D6B2FF}</author>
    <author>tc={3538BEB8-0EFB-4EBB-A478-EEC1DE45C351}</author>
    <author>tc={57EFE182-57A8-491B-862A-874250BF6691}</author>
    <author>tc={93EC1DD4-9EB0-46A7-965D-EF6FFFB69475}</author>
  </authors>
  <commentList>
    <comment ref="F13" authorId="0" shapeId="0" xr:uid="{ADB93C8A-D80F-4A34-A7D9-462BEF894519}">
      <text>
        <t>[Threaded comment]
Your version of Excel allows you to read this threaded comment; however, any edits to it will get removed if the file is opened in a newer version of Excel. Learn more: https://go.microsoft.com/fwlink/?linkid=870924
Comment:
    Para el riesgo Fiscal, solo aplica IMPACTO ECONÓMICO</t>
      </text>
    </comment>
    <comment ref="G13" authorId="1" shapeId="0" xr:uid="{79ACF03E-3B68-45BD-95C8-15DF7E41F74C}">
      <text>
        <t>[Threaded comment]
Your version of Excel allows you to read this threaded comment; however, any edits to it will get removed if the file is opened in a newer version of Excel. Learn more: https://go.microsoft.com/fwlink/?linkid=870924
Comment:
    Aplica para Riesgo FISCAL</t>
      </text>
    </comment>
    <comment ref="K13" authorId="2" shapeId="0" xr:uid="{B8AD6DD0-0C5F-4375-A4D7-AF5D2D0F1C9B}">
      <text>
        <r>
          <rPr>
            <sz val="11"/>
            <color rgb="FF000000"/>
            <rFont val="Calibri"/>
            <family val="2"/>
          </rPr>
          <t xml:space="preserve">Inicia con el IMPACTO+ Conector (por) Causa(s) Inmediata(s)+ Conector (debido a) Causa(s) Raíz.
</t>
        </r>
        <r>
          <rPr>
            <sz val="11"/>
            <color rgb="FF000000"/>
            <rFont val="Calibri"/>
            <family val="2"/>
          </rPr>
          <t xml:space="preserve">
</t>
        </r>
        <r>
          <rPr>
            <sz val="11"/>
            <color rgb="FF000000"/>
            <rFont val="Calibri"/>
            <family val="2"/>
          </rPr>
          <t xml:space="preserve">Para el riesgo de Corrupción: se debe tener en cuenta: ACCIÓN U OMISIÓN + USO DEL PODER + DESVIACIÓN DE LA GESTIÓN DE
</t>
        </r>
        <r>
          <rPr>
            <sz val="11"/>
            <color rgb="FF000000"/>
            <rFont val="Calibri"/>
            <family val="2"/>
          </rPr>
          <t xml:space="preserve">LO PÚBLICO + EL BENEFICIO PRIVADO. Es decir tener en cuenta los anteriores criterios.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Aplica para riesgo Gestión/Fiscal/Seguridad de la Información: 
</t>
        </r>
        <r>
          <rPr>
            <sz val="11"/>
            <color rgb="FF000000"/>
            <rFont val="Calibri"/>
            <family val="2"/>
          </rPr>
          <t xml:space="preserve">
</t>
        </r>
        <r>
          <rPr>
            <sz val="11"/>
            <color rgb="FF000000"/>
            <rFont val="Calibri"/>
            <family val="2"/>
          </rPr>
          <t xml:space="preserve">Inicia: IMPACTO+ Conector (por) Causa inmediata+ Conector (debido a) Causa Raíz. 
</t>
        </r>
        <r>
          <rPr>
            <sz val="11"/>
            <color rgb="FF000000"/>
            <rFont val="Calibri"/>
            <family val="2"/>
          </rPr>
          <t xml:space="preserve">
</t>
        </r>
        <r>
          <rPr>
            <sz val="11"/>
            <color rgb="FF000000"/>
            <rFont val="Calibri"/>
            <family val="2"/>
          </rPr>
          <t xml:space="preserve">Riesgos de Corrupción; </t>
        </r>
      </text>
    </comment>
    <comment ref="AU13" authorId="3" shapeId="0" xr:uid="{55BE3DF5-82DB-4FB6-ABFF-279924D6B2FF}">
      <text>
        <t xml:space="preserve">[Threaded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 Así como las desviaciones presentadas en la aplicación del control. </t>
      </text>
    </comment>
    <comment ref="AV13" authorId="4" shapeId="0" xr:uid="{3538BEB8-0EFB-4EBB-A478-EEC1DE45C351}">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 ref="AW13" authorId="5" shapeId="0" xr:uid="{57EFE182-57A8-491B-862A-874250BF6691}">
      <text>
        <t>[Threaded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t>
      </text>
    </comment>
    <comment ref="AX13" authorId="6" shapeId="0" xr:uid="{93EC1DD4-9EB0-46A7-965D-EF6FFFB69475}">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tc={47A1EA3F-9C82-4F01-99F9-E16F5BF3DC40}</author>
    <author>tc={CFB41C99-5E89-41B0-9137-B3871F5DBB6C}</author>
    <author>Calidad ETITC</author>
    <author>tc={5C4B5520-4674-4593-AA2B-9B27F58B418E}</author>
    <author>tc={13CAD0A0-CB49-4259-BCFC-CFEB26015FA1}</author>
    <author>tc={E11B4709-20D4-4853-B7EE-0157638BF3C6}</author>
    <author>tc={C66CC4A5-C5B7-4974-B276-709F519578B4}</author>
  </authors>
  <commentList>
    <comment ref="F13" authorId="0" shapeId="0" xr:uid="{47A1EA3F-9C82-4F01-99F9-E16F5BF3DC40}">
      <text>
        <t>[Threaded comment]
Your version of Excel allows you to read this threaded comment; however, any edits to it will get removed if the file is opened in a newer version of Excel. Learn more: https://go.microsoft.com/fwlink/?linkid=870924
Comment:
    Para el riesgo Fiscal, solo aplica IMPACTO ECONÓMICO</t>
      </text>
    </comment>
    <comment ref="G13" authorId="1" shapeId="0" xr:uid="{CFB41C99-5E89-41B0-9137-B3871F5DBB6C}">
      <text>
        <t>[Threaded comment]
Your version of Excel allows you to read this threaded comment; however, any edits to it will get removed if the file is opened in a newer version of Excel. Learn more: https://go.microsoft.com/fwlink/?linkid=870924
Comment:
    Aplica para Riesgo FISCAL</t>
      </text>
    </comment>
    <comment ref="K13" authorId="2" shapeId="0" xr:uid="{1D8EFE6E-56A6-4934-95B7-95A00608C10F}">
      <text>
        <r>
          <rPr>
            <sz val="11"/>
            <color rgb="FF000000"/>
            <rFont val="Calibri"/>
            <family val="2"/>
          </rPr>
          <t xml:space="preserve">Inicia con el IMPACTO+ Conector (por) Causa(s) Inmediata(s)+ Conector (debido a) Causa(s) Raíz.
</t>
        </r>
        <r>
          <rPr>
            <sz val="11"/>
            <color rgb="FF000000"/>
            <rFont val="Calibri"/>
            <family val="2"/>
          </rPr>
          <t xml:space="preserve">
</t>
        </r>
        <r>
          <rPr>
            <sz val="11"/>
            <color rgb="FF000000"/>
            <rFont val="Calibri"/>
            <family val="2"/>
          </rPr>
          <t xml:space="preserve">Para el riesgo de Corrupción: se debe tener en cuenta: ACCIÓN U OMISIÓN + USO DEL PODER + DESVIACIÓN DE LA GESTIÓN DE
</t>
        </r>
        <r>
          <rPr>
            <sz val="11"/>
            <color rgb="FF000000"/>
            <rFont val="Calibri"/>
            <family val="2"/>
          </rPr>
          <t xml:space="preserve">LO PÚBLICO + EL BENEFICIO PRIVADO. Es decir tener en cuenta los anteriores criterios.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Aplica para riesgo Gestión/Fiscal/Seguridad de la Información: 
</t>
        </r>
        <r>
          <rPr>
            <sz val="11"/>
            <color rgb="FF000000"/>
            <rFont val="Calibri"/>
            <family val="2"/>
          </rPr>
          <t xml:space="preserve">
</t>
        </r>
        <r>
          <rPr>
            <sz val="11"/>
            <color rgb="FF000000"/>
            <rFont val="Calibri"/>
            <family val="2"/>
          </rPr>
          <t xml:space="preserve">Inicia: IMPACTO+ Conector (por) Causa inmediata+ Conector (debido a) Causa Raíz. 
</t>
        </r>
        <r>
          <rPr>
            <sz val="11"/>
            <color rgb="FF000000"/>
            <rFont val="Calibri"/>
            <family val="2"/>
          </rPr>
          <t xml:space="preserve">
</t>
        </r>
        <r>
          <rPr>
            <sz val="11"/>
            <color rgb="FF000000"/>
            <rFont val="Calibri"/>
            <family val="2"/>
          </rPr>
          <t xml:space="preserve">Riesgos de Corrupción; </t>
        </r>
      </text>
    </comment>
    <comment ref="AU13" authorId="3" shapeId="0" xr:uid="{5C4B5520-4674-4593-AA2B-9B27F58B418E}">
      <text>
        <t xml:space="preserve">[Threaded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 Así como las desviaciones presentadas en la aplicación del control. </t>
      </text>
    </comment>
    <comment ref="AV13" authorId="4" shapeId="0" xr:uid="{13CAD0A0-CB49-4259-BCFC-CFEB26015FA1}">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 ref="AW13" authorId="5" shapeId="0" xr:uid="{E11B4709-20D4-4853-B7EE-0157638BF3C6}">
      <text>
        <t>[Threaded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t>
      </text>
    </comment>
    <comment ref="AX13" authorId="6" shapeId="0" xr:uid="{C66CC4A5-C5B7-4974-B276-709F519578B4}">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tc={1547104E-3A90-4704-B4AC-F1A549047CFF}</author>
    <author>tc={578529C3-8AD4-4E75-B247-A75972AB9A58}</author>
    <author>Calidad ETITC</author>
    <author>tc={B0B1D573-7895-4ECF-A7B9-7237F769A578}</author>
    <author>tc={AE41C419-AB85-41EE-BEB1-F29BBDCB79CE}</author>
    <author>tc={3FE0793F-7C1F-43E6-B77E-81BB9E844C73}</author>
    <author>tc={4713EAB7-5917-43C4-835E-678A7CDC5E3A}</author>
  </authors>
  <commentList>
    <comment ref="F13" authorId="0" shapeId="0" xr:uid="{1547104E-3A90-4704-B4AC-F1A549047CFF}">
      <text>
        <t>[Threaded comment]
Your version of Excel allows you to read this threaded comment; however, any edits to it will get removed if the file is opened in a newer version of Excel. Learn more: https://go.microsoft.com/fwlink/?linkid=870924
Comment:
    Para el riesgo Fiscal, solo aplica IMPACTO ECONÓMICO</t>
      </text>
    </comment>
    <comment ref="G13" authorId="1" shapeId="0" xr:uid="{578529C3-8AD4-4E75-B247-A75972AB9A58}">
      <text>
        <t>[Threaded comment]
Your version of Excel allows you to read this threaded comment; however, any edits to it will get removed if the file is opened in a newer version of Excel. Learn more: https://go.microsoft.com/fwlink/?linkid=870924
Comment:
    Aplica para Riesgo FISCAL</t>
      </text>
    </comment>
    <comment ref="K13" authorId="2" shapeId="0" xr:uid="{EFE4AA7F-FFF6-4886-9540-05AD7A69018C}">
      <text>
        <r>
          <rPr>
            <sz val="11"/>
            <color rgb="FF000000"/>
            <rFont val="Calibri"/>
            <family val="2"/>
          </rPr>
          <t xml:space="preserve">Inicia con el IMPACTO+ Conector (por) Causa(s) Inmediata(s)+ Conector (debido a) Causa(s) Raíz.
</t>
        </r>
        <r>
          <rPr>
            <sz val="11"/>
            <color rgb="FF000000"/>
            <rFont val="Calibri"/>
            <family val="2"/>
          </rPr>
          <t xml:space="preserve">
</t>
        </r>
        <r>
          <rPr>
            <sz val="11"/>
            <color rgb="FF000000"/>
            <rFont val="Calibri"/>
            <family val="2"/>
          </rPr>
          <t xml:space="preserve">Para el riesgo de Corrupción: se debe tener en cuenta: ACCIÓN U OMISIÓN + USO DEL PODER + DESVIACIÓN DE LA GESTIÓN DE
</t>
        </r>
        <r>
          <rPr>
            <sz val="11"/>
            <color rgb="FF000000"/>
            <rFont val="Calibri"/>
            <family val="2"/>
          </rPr>
          <t xml:space="preserve">LO PÚBLICO + EL BENEFICIO PRIVADO. Es decir tener en cuenta los anteriores criterios.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Aplica para riesgo Gestión/Fiscal/Seguridad de la Información: 
</t>
        </r>
        <r>
          <rPr>
            <sz val="11"/>
            <color rgb="FF000000"/>
            <rFont val="Calibri"/>
            <family val="2"/>
          </rPr>
          <t xml:space="preserve">
</t>
        </r>
        <r>
          <rPr>
            <sz val="11"/>
            <color rgb="FF000000"/>
            <rFont val="Calibri"/>
            <family val="2"/>
          </rPr>
          <t xml:space="preserve">Inicia: IMPACTO+ Conector (por) Causa inmediata+ Conector (debido a) Causa Raíz. 
</t>
        </r>
        <r>
          <rPr>
            <sz val="11"/>
            <color rgb="FF000000"/>
            <rFont val="Calibri"/>
            <family val="2"/>
          </rPr>
          <t xml:space="preserve">
</t>
        </r>
        <r>
          <rPr>
            <sz val="11"/>
            <color rgb="FF000000"/>
            <rFont val="Calibri"/>
            <family val="2"/>
          </rPr>
          <t xml:space="preserve">Riesgos de Corrupción; </t>
        </r>
      </text>
    </comment>
    <comment ref="AU13" authorId="3" shapeId="0" xr:uid="{B0B1D573-7895-4ECF-A7B9-7237F769A578}">
      <text>
        <t xml:space="preserve">[Threaded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 Así como las desviaciones presentadas en la aplicación del control. </t>
      </text>
    </comment>
    <comment ref="AV13" authorId="4" shapeId="0" xr:uid="{AE41C419-AB85-41EE-BEB1-F29BBDCB79CE}">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 ref="AW13" authorId="5" shapeId="0" xr:uid="{3FE0793F-7C1F-43E6-B77E-81BB9E844C73}">
      <text>
        <t>[Threaded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t>
      </text>
    </comment>
    <comment ref="AX13" authorId="6" shapeId="0" xr:uid="{4713EAB7-5917-43C4-835E-678A7CDC5E3A}">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tc={969FED0A-6C97-471D-AE27-C4F061167EB1}</author>
    <author>tc={B654C4BD-DC5D-42F5-88A7-2FB6CB0DAD9C}</author>
    <author>Calidad ETITC</author>
    <author>tc={B739ECE6-6380-41A8-8549-05911EC1D351}</author>
    <author>tc={97B712C8-8672-4965-8CCD-19E88D5D3681}</author>
    <author>tc={91B83A28-7E39-4E01-808D-99DF85FFF844}</author>
    <author>tc={353D7B8F-759E-41AD-81CE-595DD3E31DC4}</author>
  </authors>
  <commentList>
    <comment ref="F13" authorId="0" shapeId="0" xr:uid="{969FED0A-6C97-471D-AE27-C4F061167EB1}">
      <text>
        <t>[Threaded comment]
Your version of Excel allows you to read this threaded comment; however, any edits to it will get removed if the file is opened in a newer version of Excel. Learn more: https://go.microsoft.com/fwlink/?linkid=870924
Comment:
    Para el riesgo Fiscal, solo aplica IMPACTO ECONÓMICO</t>
      </text>
    </comment>
    <comment ref="G13" authorId="1" shapeId="0" xr:uid="{B654C4BD-DC5D-42F5-88A7-2FB6CB0DAD9C}">
      <text>
        <t>[Threaded comment]
Your version of Excel allows you to read this threaded comment; however, any edits to it will get removed if the file is opened in a newer version of Excel. Learn more: https://go.microsoft.com/fwlink/?linkid=870924
Comment:
    Aplica para Riesgo FISCAL</t>
      </text>
    </comment>
    <comment ref="K13" authorId="2" shapeId="0" xr:uid="{315633CC-E633-4A3B-B1A7-982BCBC386E5}">
      <text>
        <r>
          <rPr>
            <sz val="11"/>
            <color rgb="FF000000"/>
            <rFont val="Calibri"/>
            <family val="2"/>
          </rPr>
          <t xml:space="preserve">Inicia con el IMPACTO+ Conector (por) Causa(s) Inmediata(s)+ Conector (debido a) Causa(s) Raíz.
</t>
        </r>
        <r>
          <rPr>
            <sz val="11"/>
            <color rgb="FF000000"/>
            <rFont val="Calibri"/>
            <family val="2"/>
          </rPr>
          <t xml:space="preserve">
</t>
        </r>
        <r>
          <rPr>
            <sz val="11"/>
            <color rgb="FF000000"/>
            <rFont val="Calibri"/>
            <family val="2"/>
          </rPr>
          <t xml:space="preserve">Para el riesgo de Corrupción: se debe tener en cuenta: ACCIÓN U OMISIÓN + USO DEL PODER + DESVIACIÓN DE LA GESTIÓN DE
</t>
        </r>
        <r>
          <rPr>
            <sz val="11"/>
            <color rgb="FF000000"/>
            <rFont val="Calibri"/>
            <family val="2"/>
          </rPr>
          <t xml:space="preserve">LO PÚBLICO + EL BENEFICIO PRIVADO. Es decir tener en cuenta los anteriores criterios.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Aplica para riesgo Gestión/Fiscal/Seguridad de la Información: 
</t>
        </r>
        <r>
          <rPr>
            <sz val="11"/>
            <color rgb="FF000000"/>
            <rFont val="Calibri"/>
            <family val="2"/>
          </rPr>
          <t xml:space="preserve">
</t>
        </r>
        <r>
          <rPr>
            <sz val="11"/>
            <color rgb="FF000000"/>
            <rFont val="Calibri"/>
            <family val="2"/>
          </rPr>
          <t xml:space="preserve">Inicia: IMPACTO+ Conector (por) Causa inmediata+ Conector (debido a) Causa Raíz. 
</t>
        </r>
        <r>
          <rPr>
            <sz val="11"/>
            <color rgb="FF000000"/>
            <rFont val="Calibri"/>
            <family val="2"/>
          </rPr>
          <t xml:space="preserve">
</t>
        </r>
        <r>
          <rPr>
            <sz val="11"/>
            <color rgb="FF000000"/>
            <rFont val="Calibri"/>
            <family val="2"/>
          </rPr>
          <t xml:space="preserve">Riesgos de Corrupción; </t>
        </r>
      </text>
    </comment>
    <comment ref="AU13" authorId="3" shapeId="0" xr:uid="{B739ECE6-6380-41A8-8549-05911EC1D351}">
      <text>
        <t xml:space="preserve">[Threaded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 Así como las desviaciones presentadas en la aplicación del control. </t>
      </text>
    </comment>
    <comment ref="AV13" authorId="4" shapeId="0" xr:uid="{97B712C8-8672-4965-8CCD-19E88D5D3681}">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 ref="AW13" authorId="5" shapeId="0" xr:uid="{91B83A28-7E39-4E01-808D-99DF85FFF844}">
      <text>
        <t>[Threaded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t>
      </text>
    </comment>
    <comment ref="AX13" authorId="6" shapeId="0" xr:uid="{353D7B8F-759E-41AD-81CE-595DD3E31DC4}">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tc={8A0E88F9-ACE7-4194-933B-A8D30B2ADFF1}</author>
    <author>tc={FF7ABB86-8857-468A-90A4-E2CC49A4DDB1}</author>
    <author>Calidad ETITC</author>
    <author>tc={CCA89ED2-3ED1-4DF6-9923-BD02A38084C0}</author>
    <author>tc={9AD3F53F-7FC9-4727-9D6E-0768CE13B6C9}</author>
    <author>tc={D9CBC33E-C1FE-4573-A0A3-B53E51E3D126}</author>
    <author>tc={725D33A5-AE89-4054-9F80-C969D1FA0329}</author>
  </authors>
  <commentList>
    <comment ref="F13" authorId="0" shapeId="0" xr:uid="{8A0E88F9-ACE7-4194-933B-A8D30B2ADFF1}">
      <text>
        <t>[Threaded comment]
Your version of Excel allows you to read this threaded comment; however, any edits to it will get removed if the file is opened in a newer version of Excel. Learn more: https://go.microsoft.com/fwlink/?linkid=870924
Comment:
    Para el riesgo Fiscal, solo aplica IMPACTO ECONÓMICO</t>
      </text>
    </comment>
    <comment ref="G13" authorId="1" shapeId="0" xr:uid="{FF7ABB86-8857-468A-90A4-E2CC49A4DDB1}">
      <text>
        <t>[Threaded comment]
Your version of Excel allows you to read this threaded comment; however, any edits to it will get removed if the file is opened in a newer version of Excel. Learn more: https://go.microsoft.com/fwlink/?linkid=870924
Comment:
    Aplica para Riesgo FISCAL</t>
      </text>
    </comment>
    <comment ref="K13" authorId="2" shapeId="0" xr:uid="{4F858C30-47AE-4522-BE71-040A003D7BE7}">
      <text>
        <r>
          <rPr>
            <sz val="11"/>
            <color rgb="FF000000"/>
            <rFont val="Calibri"/>
            <family val="2"/>
          </rPr>
          <t xml:space="preserve">Inicia con el IMPACTO+ Conector (por) Causa(s) Inmediata(s)+ Conector (debido a) Causa(s) Raíz.
</t>
        </r>
        <r>
          <rPr>
            <sz val="11"/>
            <color rgb="FF000000"/>
            <rFont val="Calibri"/>
            <family val="2"/>
          </rPr>
          <t xml:space="preserve">
</t>
        </r>
        <r>
          <rPr>
            <sz val="11"/>
            <color rgb="FF000000"/>
            <rFont val="Calibri"/>
            <family val="2"/>
          </rPr>
          <t xml:space="preserve">Para el riesgo de Corrupción: se debe tener en cuenta: ACCIÓN U OMISIÓN + USO DEL PODER + DESVIACIÓN DE LA GESTIÓN DE
</t>
        </r>
        <r>
          <rPr>
            <sz val="11"/>
            <color rgb="FF000000"/>
            <rFont val="Calibri"/>
            <family val="2"/>
          </rPr>
          <t xml:space="preserve">LO PÚBLICO + EL BENEFICIO PRIVADO. Es decir tener en cuenta los anteriores criterios.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
</t>
        </r>
        <r>
          <rPr>
            <sz val="11"/>
            <color rgb="FF000000"/>
            <rFont val="Calibri"/>
            <family val="2"/>
          </rPr>
          <t xml:space="preserve">Aplica para riesgo Gestión/Fiscal/Seguridad de la Información: 
</t>
        </r>
        <r>
          <rPr>
            <sz val="11"/>
            <color rgb="FF000000"/>
            <rFont val="Calibri"/>
            <family val="2"/>
          </rPr>
          <t xml:space="preserve">
</t>
        </r>
        <r>
          <rPr>
            <sz val="11"/>
            <color rgb="FF000000"/>
            <rFont val="Calibri"/>
            <family val="2"/>
          </rPr>
          <t xml:space="preserve">Inicia: IMPACTO+ Conector (por) Causa inmediata+ Conector (debido a) Causa Raíz. 
</t>
        </r>
        <r>
          <rPr>
            <sz val="11"/>
            <color rgb="FF000000"/>
            <rFont val="Calibri"/>
            <family val="2"/>
          </rPr>
          <t xml:space="preserve">
</t>
        </r>
        <r>
          <rPr>
            <sz val="11"/>
            <color rgb="FF000000"/>
            <rFont val="Calibri"/>
            <family val="2"/>
          </rPr>
          <t xml:space="preserve">Riesgos de Corrupción; </t>
        </r>
      </text>
    </comment>
    <comment ref="AU13" authorId="3" shapeId="0" xr:uid="{CCA89ED2-3ED1-4DF6-9923-BD02A38084C0}">
      <text>
        <t xml:space="preserve">[Threaded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 Así como las desviaciones presentadas en la aplicación del control. </t>
      </text>
    </comment>
    <comment ref="AV13" authorId="4" shapeId="0" xr:uid="{9AD3F53F-7FC9-4727-9D6E-0768CE13B6C9}">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 ref="AW13" authorId="5" shapeId="0" xr:uid="{D9CBC33E-C1FE-4573-A0A3-B53E51E3D126}">
      <text>
        <t>[Threaded comment]
Your version of Excel allows you to read this threaded comment; however, any edits to it will get removed if the file is opened in a newer version of Excel. Learn more: https://go.microsoft.com/fwlink/?linkid=870924
Comment:
    Se realiza una descripción breve de lo ejecutado en el periodo</t>
      </text>
    </comment>
    <comment ref="AX13" authorId="6" shapeId="0" xr:uid="{725D33A5-AE89-4054-9F80-C969D1FA0329}">
      <text>
        <t>[Threaded comment]
Your version of Excel allows you to read this threaded comment; however, any edits to it will get removed if the file is opened in a newer version of Excel. Learn more: https://go.microsoft.com/fwlink/?linkid=870924
Comment:
    Se debe describir los soportes de la ejecución del control y punto de uso de la información. Ejemplo (enlaces de carpetas)</t>
      </text>
    </comment>
  </commentList>
</comments>
</file>

<file path=xl/sharedStrings.xml><?xml version="1.0" encoding="utf-8"?>
<sst xmlns="http://schemas.openxmlformats.org/spreadsheetml/2006/main" count="1431" uniqueCount="530">
  <si>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</si>
  <si>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</si>
  <si>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</si>
  <si>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</si>
  <si>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</si>
  <si>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</si>
  <si>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</si>
  <si>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 xml:space="preserve">
Escuela Tecnológica Instituto Técnico Central
Establecimiento Público de Educación Superior</t>
  </si>
  <si>
    <t>MAPA DE RIESGOS</t>
  </si>
  <si>
    <t>CÓDIGO:GSI- CA-FO-09</t>
  </si>
  <si>
    <t>VERSIÓN:  9</t>
  </si>
  <si>
    <t>PÁGINA:    1 de 1</t>
  </si>
  <si>
    <t>Proceso:</t>
  </si>
  <si>
    <t>Objetivo:</t>
  </si>
  <si>
    <t>Alcance:</t>
  </si>
  <si>
    <t>REGRESAR</t>
  </si>
  <si>
    <t>PRIMERA LÍNEA DE DEFENSA (Líder del Proceso)</t>
  </si>
  <si>
    <t xml:space="preserve">
PRIMERA LÍNEA DE DEFENSA
MONITOREO  
</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</si>
  <si>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</si>
  <si>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</si>
  <si>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</si>
  <si>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</si>
  <si>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</si>
  <si>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</si>
  <si>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</si>
  <si>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</si>
  <si>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</si>
  <si>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</si>
  <si>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</si>
  <si>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</si>
  <si>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</si>
  <si>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</si>
  <si>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</si>
  <si>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 xml:space="preserve">Descripción del Riesgo
</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</si>
  <si>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</si>
  <si>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</si>
  <si>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</si>
  <si>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</si>
  <si>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</si>
  <si>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</si>
  <si>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</si>
  <si>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</si>
  <si>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</si>
  <si>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</si>
  <si>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</si>
  <si>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</si>
  <si>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</si>
  <si>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</si>
  <si>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</si>
  <si>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</si>
  <si>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</si>
  <si>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</si>
  <si>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</si>
  <si>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</si>
  <si>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</si>
  <si>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</si>
  <si>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</si>
  <si>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</si>
  <si>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</si>
  <si>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 xml:space="preserve">
Avance de Ejecución de Control(es)</t>
  </si>
  <si>
    <t xml:space="preserve">Evidencias de la ejecución del Control </t>
  </si>
  <si>
    <t xml:space="preserve">
Avance de Ejecución de Plan de Tratamiento</t>
  </si>
  <si>
    <t>Evidencias de la ejecucióndel Plan de Tratamiento</t>
  </si>
  <si>
    <t xml:space="preserve">Estado del Plan de Acción </t>
  </si>
  <si>
    <t>Fecha Seguimiento</t>
  </si>
  <si>
    <t xml:space="preserve">Seguimiento
</t>
  </si>
  <si>
    <t xml:space="preserve">Ubicación de las evidencias </t>
  </si>
  <si>
    <t xml:space="preserve">Seguimiento y Evaluación
</t>
  </si>
  <si>
    <t>Activo de información afectado</t>
  </si>
  <si>
    <t>Criterio afectado</t>
  </si>
  <si>
    <t>Tipo</t>
  </si>
  <si>
    <t>Implementación</t>
  </si>
  <si>
    <t>Calificación</t>
  </si>
  <si>
    <t>Frecuencia</t>
  </si>
  <si>
    <t>Evidencia</t>
  </si>
  <si>
    <t>Reducir (mitigar)</t>
  </si>
  <si>
    <r>
      <rPr>
        <sz val="11"/>
        <color theme="9"/>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</si>
  <si>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r>
      <rPr>
        <b/>
        <sz val="14"/>
        <rFont val="Arial"/>
        <family val="2"/>
      </rPr>
      <t>LIDER DEL PROCESO:</t>
    </r>
    <r>
      <rPr>
        <sz val="14"/>
        <rFont val="Arial"/>
        <family val="2"/>
      </rPr>
      <t xml:space="preserve"> Hno. Ariosto Ardila Silva</t>
    </r>
  </si>
  <si>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</si>
  <si>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</si>
  <si>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</si>
  <si>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</si>
  <si>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</si>
  <si>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</si>
  <si>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</si>
  <si>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</si>
  <si>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</si>
  <si>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</si>
  <si>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Gestión del Sistema Integrado de Aseguramiento</t>
  </si>
  <si>
    <t xml:space="preserve">Establecer lineamientos y estrategias del SIACET (Sistema Integrado de Aseguramiento de la Calidad de la Escuela Tecnológica) que permitan optimizar y coordinar de manera eficiente todos los procesos y recursos institucionales para alcanzar la excelencia académica y administrativa, 
garantizando la mejora continua y el cumplimiento de los estándares de calidad a nivel institucional y en cada uno de los programas ofrecidos, promoviendo la cultura de la autoevaluación y la autorregulación. </t>
  </si>
  <si>
    <t xml:space="preserve">Aplica para todos los procesos misionales, estratégicos, de apoyo y de evaluación de la ETITC y da comienzo desde la aplicación de los lineamientos institucionales en materia de aseguramiento de la calidad, hasta la implementación y cierre de acciones resultantes de los procesos de auditorías internas, externas, registro calificado, autoevaluación y acreditación de alta calidad de programas e institucional. 
 </t>
  </si>
  <si>
    <t xml:space="preserve">Fecha  de Reporte </t>
  </si>
  <si>
    <t>Gestión</t>
  </si>
  <si>
    <t>Reputacional</t>
  </si>
  <si>
    <t>Procesos</t>
  </si>
  <si>
    <t>Recolección de información sin la  verificación completa de los requisitos e información de entrada aplicables a la Revisión por la Dirección</t>
  </si>
  <si>
    <t xml:space="preserve"> Falta de planeación, articulación, recopilación, validación y control de la información requerida.</t>
  </si>
  <si>
    <t>Posibilidad de afectación reputacional por recolección de información sin la  verificación completa de los requisitos e información de entrada aplicables a la Revisión por la Dirección, debido a falta de planeación, articulación, recopilación, validación y control de la información requerida.</t>
  </si>
  <si>
    <t>Ejecucion y Administracion de procesos</t>
  </si>
  <si>
    <t>Documental</t>
  </si>
  <si>
    <t>Integridad</t>
  </si>
  <si>
    <t xml:space="preserve">     El riesgo afecta la imagen de la entidad con algunos usuarios de relevancia frente al logro de los objetivos</t>
  </si>
  <si>
    <t>El profesional responsable del Sistema de Gestión de la Calidad, de manera anual, en el marco de la preparación de la Revisión por la Dirección y previo a su presentación, de acuerdo con lo establecido en el procedimiento DIE-PC-12 Revisión por la Dirección, realiza la solicitud, recepción, consolidación y verificación de la información suministrada por los líderes de los procesos, validando su completitud, pertinencia y correspondencia con las entradas requeridas para la Revisión por la Dirección, incluyendo la información relevante de los sistemas que conforman el Sistema Integrado de Aseguramiento de la Calidad de la Escuela Tecnológica – SIACET.
En caso de desviación del contro; En caso de identificar información faltante, incompleta o que no cumpla con los requisitos establecidos, solicita el ajuste o complemento al responsable correspondiente y realiza seguimiento hasta su recepción y validación, dejando evidencia de las solicitudes y verificaciones realizadas.</t>
  </si>
  <si>
    <t xml:space="preserve">Correo electronico de solicitud de información
Correos de reiteración (cuando aplique)
Información recolectada (repositorio del Sistema de Gestión de Calidad </t>
  </si>
  <si>
    <t>Preventivo</t>
  </si>
  <si>
    <t>Manual</t>
  </si>
  <si>
    <t>Documentado</t>
  </si>
  <si>
    <t>Continua</t>
  </si>
  <si>
    <t>Con Registro</t>
  </si>
  <si>
    <t xml:space="preserve"> DIE-PC-12 Revisión por la Dirección</t>
  </si>
  <si>
    <t>Implementar lista de chequeo para identificar requisitos de cumplimiento y responsables  y evidencias</t>
  </si>
  <si>
    <t xml:space="preserve">Profesional del Sistema de Gestión de Calidad </t>
  </si>
  <si>
    <t>Lista de chequeo implementada</t>
  </si>
  <si>
    <t>SI</t>
  </si>
  <si>
    <t>El profesional responsable del Sistema de Gestión de la Calidad, anualmente presenta ante el Comité de Gestión y Desempeño el informe de Revisión por la Dirección para su aprobación. 
En caso de desviación del control: se registran las observaciones, recomendaciones y aspectos pendientes identificados por el Comité y se establecen las acciones, responsables y plazos para su atención. El seguimiento a las acciones definidas se incorpora como insumo para la preparación de la Revisión por la Dirección de la siguiente vigencia.</t>
  </si>
  <si>
    <t xml:space="preserve">Informe Revisión por la Dirección
Acta del Comité de Gestión y Desempeño
Registro de compromisos y seguimiento de acciones (cuando aplique) </t>
  </si>
  <si>
    <t xml:space="preserve">DIE-FO-13 informe de Revisión por la Dirección </t>
  </si>
  <si>
    <t>Falta de apropiación y aplicación de los lineamientos institucionales para la gestión del riesgo por parte de los procesos.</t>
  </si>
  <si>
    <t>Actualización de las matrices sin considerar cambios en el contexto, procesos,  cumplimiento de objetivos, normativa o resultados institucionales.</t>
  </si>
  <si>
    <t>Posibilidad de afectación reputacional por falta de apropiación y aplicación de los lineamientos institucionales para la gestión del riesgo por parte de los procesos, debido a  Actualización de las matrices sin considerar cambios en el contexto, procesos,  cumplimiento de objetivos, normativa o resultados institucionales.</t>
  </si>
  <si>
    <t>Usuarios, productos y practicas , organizacionales</t>
  </si>
  <si>
    <t>El responsable de la gestión del riesgo,  revisa por lo menos una vez al año los lineamientos  institucional para la gestión del riesgo (Politica, procedimientos, formato), verificando su claridad, pertinencia, aplicabilidad y articulación con los objetivos y procesos institucionales, e identificando  oportunidades de mejora, frente  a  cambios en el contexto institucional o normativo.</t>
  </si>
  <si>
    <t xml:space="preserve">Documentos actualizados asociados a la administración del riesgo
</t>
  </si>
  <si>
    <t>GSI-CA-PC-06 Administración de riesgos 
Política de Administración del Riesgo</t>
  </si>
  <si>
    <t>Solicitar incluir en el PIC una capacitación sobre la Gestión del Riesgo</t>
  </si>
  <si>
    <t xml:space="preserve">Registro de Capacitación </t>
  </si>
  <si>
    <t xml:space="preserve">El profesional asignado para riesgos, realiza en cada vigencia  el acompañamiento para la formulación y/o revisión de las matrices de riesgos de los procesos, verificando la pertinencia de los eventos identificados, su relación con los objetivos del proceso, la coherencia entre causas, consecuencias, valoración y controles, y el cumplimiento de los criterios establecidos en la metodologíadel riesgol. 
En caso de identificar desviación del control: solicita al lider del  proceso correspondiente su  actualziación, aplica para los casos de materialización de riesgos. </t>
  </si>
  <si>
    <t xml:space="preserve">Matrices actualizadas y cargadas en la pagina web de la ETITC
Tratamiento de riesgos materializados. (cuando aplique) </t>
  </si>
  <si>
    <t xml:space="preserve">GSI-CA-FO-09 Mapa y plan de tratamiento de riesgos </t>
  </si>
  <si>
    <t>Uso o disponibilidad de documentos desactualizados, no vigentes u obsoletos en los procesos.</t>
  </si>
  <si>
    <t>Falta de mecanismos robusto para identificar, revisar y actualizar oportunamente los documentos del Sistema Integrado de Aseguramiento de la Calidad.</t>
  </si>
  <si>
    <t>Posibilidad de afectación reputacional por uso o disponibilidad de documentos desactualizados, no vigentes u obsoletos de los procesos, debido a falta de mecanismos robusto  para identificar, revisar y actualizar oportunamente los documentos del Sistema Integrado de Aseguramiento de la Calidad.</t>
  </si>
  <si>
    <t>Disponibilidad</t>
  </si>
  <si>
    <t xml:space="preserve">Los líderes de los procesos realizan, de acuerdo con los lineamientos establecidos en el procedimiento GSI-PC-01 Creación y control de documentos, la revisión periódica de la vigencia, pertinencia y aplicabilidad de los documentos asociados a sus procesos, identificando la necesidad de actualización, modificación o eliminar. 
En caso de desviación del control: solicitaran la asesoria al profesional del Sistema de Gestión de Calidad para determinar el tratamiento al documento y lo registraran en el formato GSI-CA-FO-03 Solicitud de generación, revisión, actualización o eliminación de documento </t>
  </si>
  <si>
    <t xml:space="preserve">Actas de reunión
Documentos revisados
registro en el formato GSI-CA-FO-03 Solicitud de generación, revisión, actualización o eliminación de documento </t>
  </si>
  <si>
    <t xml:space="preserve"> GSI-PC-01 Creación y control de documentos</t>
  </si>
  <si>
    <t xml:space="preserve">Remitir correos a los Lideres de proceso sobre la importancia de mantener sus documentos depurados y  actualizados. </t>
  </si>
  <si>
    <t xml:space="preserve">Correos enviados </t>
  </si>
  <si>
    <t xml:space="preserve">El responsable profesional del Sistema de Gestión de Calidad, realiza seguimiento al cumplimiento de estas revisiones y verifica que las actualizaciones, modificaciones o eliminados identificados sean gestionados conforme al procedimiento establecido para el control de documentos.En caso de identificar desviación del control. Documentos inconsistencias o documentos obsoletos, remitira correo al lider del proceso informando la novedad encontrada. </t>
  </si>
  <si>
    <t xml:space="preserve">Verificación en el Listado Maestro de Documentos de pagina web. 
Remitir correo al lider del proceso  en caso de encontrar inconsistencias </t>
  </si>
  <si>
    <r>
      <rPr>
        <b/>
        <sz val="14"/>
        <rFont val="Arial"/>
        <family val="2"/>
      </rPr>
      <t>LIDER DEL PROCESO:</t>
    </r>
    <r>
      <rPr>
        <sz val="14"/>
        <rFont val="Arial"/>
        <family val="2"/>
      </rPr>
      <t xml:space="preserve"> YANETH JIMENA PIMIENTO CORTÉS</t>
    </r>
  </si>
  <si>
    <t>Económico y Reputacional</t>
  </si>
  <si>
    <t xml:space="preserve">desconocimiento del total de activos de información institucional, incluyendo clasificación y valoración
desconocimiento de la normatividad por parte de los responsables de los activos de información </t>
  </si>
  <si>
    <t xml:space="preserve">1-Información incompleta  de los activos de información
2-fatta de apropiación de los lineamientos de los activos de información por parte de los responsables de procesos 
</t>
  </si>
  <si>
    <t xml:space="preserve">Posibilidad de afectación reputacional por desconocimiento del total de activos de información institucional, incluyendo clasificación y valoración
desconocimiento de la normatividad por parte de los responsables de los activos de información  debido a información incompleta  de los activos de información, 
falta de apropiación de los lineamientos de los activos de información por parte de los responsables de procesos </t>
  </si>
  <si>
    <t xml:space="preserve">El profesional asignado, de manera anual realiza acompañamiento  para el levantamiento inicial y/o actualización de activos de información por proceso. En caso de desviación del control se verificara la completitud de los inventarios por proceso y se validara la correcta implementación de la metodología.  </t>
  </si>
  <si>
    <t xml:space="preserve">GSI-FO-03 Matriz de inventario general de activos de la ETITC 
Grabación de secciones o registro de asistencia.
</t>
  </si>
  <si>
    <t xml:space="preserve">GSI-FO-03 Matriz de inventario general de activos de la ETITC 
GSI-SI-ME-01 Identificar, Clasificar y Valorar los Activos de Información de la ETITC </t>
  </si>
  <si>
    <t xml:space="preserve">Encuentro de seguimiento del levantamiento de los activos de información por procesos </t>
  </si>
  <si>
    <t>Lider del Sistema de Seguridad de la Información-SI</t>
  </si>
  <si>
    <t xml:space="preserve">Grabación de secciones o registro de asistencia.
</t>
  </si>
  <si>
    <t>Talento humano</t>
  </si>
  <si>
    <t>Por documentos publicados en los diferentes sitios del portal web no se encuentran completamente identificados o relacionados con el Listado Maestro de Documentos</t>
  </si>
  <si>
    <t>falta de verificación de las versiones publicadas en el portal que correspondan con las versiones vigentes.</t>
  </si>
  <si>
    <t xml:space="preserve">Posibilidad afectación  reputacional por documentos publicados en los diferentes sitios del portal web no se encuentran completamente identificados o relacionados con el Listado Maestro de Documentos, debido a falta de verificación de las versiones publicadas en el portal que correspondan con las versiones vigentes.  </t>
  </si>
  <si>
    <t xml:space="preserve">El profesional asignado del Sistema de Seguridad de la Información, cada vez que se requiera,  verificará los documentos publicados en los diferentes sitios del portal web, frente al listado maestro de documentos vigentes, que los documentos se encuentren completamente identificados y la corerspondiente control de versiones. En caso de encontrar desviación del control, el profesional de Seguridad Digital, reportará al profesional del Sistema de Calidad, la situación encontrada, para proceder con la indexación de la documentación  a partir del Listado Maestro de Documentos como fuente oficial de información, incluyendo aquellos que no hacen parte de los documentos del Sistema de Gestión de Calidad. </t>
  </si>
  <si>
    <t xml:space="preserve">Listado de los documentos verificados en Listado Maestro de Documentos versus los publicados en el Portal Web </t>
  </si>
  <si>
    <t xml:space="preserve">Establecer cronograma de trabajo para la actualización de los documentos del GSI-SI e identificar cuales de estos deben ser publicados en portal web. </t>
  </si>
  <si>
    <t xml:space="preserve">Cronograma de trabajo
Listado de documentos actualizados e indexados (cuando aplique) </t>
  </si>
  <si>
    <t>Identificación insuficiente o desactualizada de peligros y valoración de riesgos</t>
  </si>
  <si>
    <t>1. Cambios en las condiciones de trabajo.
2. Debilidades en la participación y el reporte de condiciones.</t>
  </si>
  <si>
    <t>Posibilidad de afectación reputacional por identificación insuficiente o desactualizada de peligros y valoración de riesgos debido a cambios en las condiciones de trabajo o a debilidades en la participación y el reporte de condiciones.</t>
  </si>
  <si>
    <t xml:space="preserve">El profesional responsable de seguridad y salud en el trabajo de manera trimestral o cuando se requiera realiza la verificación de los cambios que se puedan dar a nivel institucional, que afecten  la seguridad y salud de los trabajadores, contratistas y demás partes interesadas y los documenta en el formato de gestión del cambio para su seguimiento. En caso de desviación del control se reporta al profesional de Calidad, con el registro. </t>
  </si>
  <si>
    <t xml:space="preserve">1. PRIORIZACIÓN DEL RIESGO (Registro)
2. GSI-CA-FO-12 Matriz de planificación y gestión de cambios 
 </t>
  </si>
  <si>
    <t xml:space="preserve">1. PRIORIZACIÓN DEL RIESGO (Registro)
2. GSI-CA-FO-12 Matriz de planificación y gestión de cambios </t>
  </si>
  <si>
    <t xml:space="preserve">Realizar seguimineto semestral a los riesgos priorizados en la matriz </t>
  </si>
  <si>
    <t>Profesional Responsable del SG-SST</t>
  </si>
  <si>
    <t>Informes y anexos</t>
  </si>
  <si>
    <t>1. Fallas en la implementación de los lineamientos de seguridad y salud en el trabajo
 2. Desconocimiento de los peligros,  y responsabilidades en Seguridad y Salud en el Trabajo.</t>
  </si>
  <si>
    <t>1. Cobertura insuficiente de las actividades de inducción, reinducción, capacitación y entrenamiento.</t>
  </si>
  <si>
    <t>Posibilidad de afectación reputacional por las fallas en la implementación de los lineamientos de seguridad y salud en el trabajo; desconocimiento de los peligros,  y responsabilidades en Seguridad y Salud en el Trabajo, debido a una cobertura insuficiente de las actividades de inducción, reinducción, capacitación y entrenamiento.</t>
  </si>
  <si>
    <t xml:space="preserve">     El riesgo afecta la imagen de la entidad a nivel nacional, con efecto publicitarios sostenible a nivel país</t>
  </si>
  <si>
    <t xml:space="preserve">El profesional responsable de seguridad y salud en el trabajo de manera anual elabora el cronograma de capacitaciones de seguridad y salud en el trabajo conforme a los peligros y riesgos identificados en los procesos y los lineamientos establecidos en el PIC en caso de encontras desviaciones al conrol se realizarán capacitaciones de acuerdo abordando temas especificos a grupos focales. </t>
  </si>
  <si>
    <t>1. Cronograma anual.
2. Evidencias de la ejecución de las capacitaciones
3. Capacitaciones especificas (cuando aplique)</t>
  </si>
  <si>
    <t xml:space="preserve">Realizar seguimiento semestral a la ejecución de las capacitaciones, validando la cobertura según la población objetivo. </t>
  </si>
  <si>
    <t xml:space="preserve">Fallas de articulación interna en recolección de la información para la aprobación de los programas academicos, </t>
  </si>
  <si>
    <t xml:space="preserve">carencia de lineamientos de autoevaluación sistemáticos que permitan medir y hacer seguimiento en tiempo real la calidad y pertinencia de los programas académicos y de la institución, 
</t>
  </si>
  <si>
    <t xml:space="preserve">Posibilidad de afectación reputacional, por faltlas de articulación interna en recolección de la información para la aprobación de los programas academicos, 
debido carencia de lineamientos de autoevaluación sistemáticos que permitan medir y hacer seguimiento en tiempo real la calidad y pertinencia de los programas académicos y de la institución, 
</t>
  </si>
  <si>
    <t xml:space="preserve">     El riesgo afecta la imagen de de la entidad con efecto publicitario sostenido a nivel de sector administrativo, nivel departamental o municipal</t>
  </si>
  <si>
    <t xml:space="preserve">
El profesional responsable de Registros Calificados realiza anualmente el seguimiento a la vigencia de las resoluciones de los registros calificados, mediante la revisión del cronograma donde se relacionan los programas vigentes. Adicionalmente, el Comité de Autoevaluación y Autorregulación Institucional realiza seguimiento mensual a los asuntos relacionados con los procesos y planes de mejoramiento de Autoevaluación.
En caso de desviación el profesional de Autoevaluación verifica y valida la información requeridas para los procesos de Autoevaluación de acuerdo con los lineamientos y cronogramas establecidos institucionalmente, y realiza seguimiento a su entrega oportuna al área responsable de consolidar la información.”</t>
  </si>
  <si>
    <t xml:space="preserve">Cronograma 
Acta de Comite
Informe de Autoevalucion
Documentos maestros 
</t>
  </si>
  <si>
    <t xml:space="preserve">GSI-AU-PC-02 Registro Calificado nuevo o en renovación
Cronograma 
Acta de Comite
Informe de Autoevalucion
Documentos maestros 
</t>
  </si>
  <si>
    <t xml:space="preserve">
Correos recordatorios al decano de la facultad, de las fechas a vencer del registro calificado especifico </t>
  </si>
  <si>
    <t xml:space="preserve">profesional de cultura autoevalución </t>
  </si>
  <si>
    <t xml:space="preserve">Correos electronicos </t>
  </si>
  <si>
    <t>15/12/2026</t>
  </si>
  <si>
    <t>Falta de articulación a nivel interno de la ETITC, en la recolección, validación, análisis de la información requerida para para el reconocimiento de alta calidad de los programas Institucionales</t>
  </si>
  <si>
    <t>Deficiencias en la aplicación de lineamientos  de autoevaluación para  medir y hacer seguimiento en tiempo real de la transformación y aporte de la formación en la sociedad</t>
  </si>
  <si>
    <t xml:space="preserve">Posibilidad de afectación reputacional, por falta de articulación a nivel interno de la ETITC, en la recolección, validación, análisis de la información requerida para para el reconocimiento de alta calidad de los programas Institucionales, 
debido deficiencias en la aplicación de lineamientos  de autoevaluación para  medir y hacer seguimiento en tiempo real de la transformación y aporte de la formación en la sociedad
</t>
  </si>
  <si>
    <t xml:space="preserve">
El profesional líder de acreditación realiza seguimiento semestral al cumplimiento de las acciones del plan de mejoramiento que se encuentran bajo su responsabilidad, verificando el avance, cumplimiento de los plazos y las evidencias asociadas, y reporta los resultados al responsable de Aseguramiento de la Calidad para su consolidación y seguimiento institucional. 
En caso de identificarse desviación del control, como retrasos, incumplimientos o ausencia de evidencias en las acciones de los planes de mejoramiento de Autoevaluación, el profesional de Aseguramiento de la Calidad reporta ante el Comité de Autoevaluación y Autorregulación Institucional, para la implementación de planes de contingencia. 
</t>
  </si>
  <si>
    <t xml:space="preserve">Cronograma 
Acta de Comite
Informe de Autoevalucion
Plan de trabajo
</t>
  </si>
  <si>
    <t xml:space="preserve">GSI-AU-PC-03 Autoevaluación integral para la alta calidad 
Cronograma 
Acta de Comite
Informe de Autoevalucion
Plan de trabajo
</t>
  </si>
  <si>
    <t xml:space="preserve">
Reuniones con el área encargada de la Alta Calidad (estamentos, egresados, decanatura, entre otros)</t>
  </si>
  <si>
    <t xml:space="preserve">profesional lider de Creditación 
</t>
  </si>
  <si>
    <t xml:space="preserve">Correos de retroalimentación de las reuniones
Presentación del factor 
</t>
  </si>
  <si>
    <t>Posibilidad de afectación reputacional por pérdida de la cultura de autoevaluación en las áreas administrativas y académicas debido a la baja adopción de los requisitos del modelo de autoevaluación</t>
  </si>
  <si>
    <t>Criterios_Impacto</t>
  </si>
  <si>
    <t xml:space="preserve">     Afectación menor a 10 SMLMV .</t>
  </si>
  <si>
    <t>Leve</t>
  </si>
  <si>
    <t xml:space="preserve">     Entre 10 y 50 SMLMV </t>
  </si>
  <si>
    <t>Menor</t>
  </si>
  <si>
    <t xml:space="preserve">     Entre 50 y 100 SMLMV </t>
  </si>
  <si>
    <t>Moderado</t>
  </si>
  <si>
    <t xml:space="preserve">     Entre 100 y 500 SMLMV </t>
  </si>
  <si>
    <t>Mayor</t>
  </si>
  <si>
    <t xml:space="preserve">     Mayor a 500 SMLMV </t>
  </si>
  <si>
    <t>Catastrófico</t>
  </si>
  <si>
    <t xml:space="preserve">     El riesgo afecta la imagen de alguna área de la organización</t>
  </si>
  <si>
    <t xml:space="preserve">     El riesgo afecta la imagen de la entidad internamente, de conocimiento general, nivel interno, de junta dircetiva y accionistas y/o de provedores</t>
  </si>
  <si>
    <t>Moderado (Corrupción)</t>
  </si>
  <si>
    <t>Mayor (Corrupción)</t>
  </si>
  <si>
    <t>Catastrófico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</si>
  <si>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</si>
  <si>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</si>
  <si>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</si>
  <si>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</si>
  <si>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</si>
  <si>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</si>
  <si>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</si>
  <si>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</si>
  <si>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</si>
  <si>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	Procesos</t>
  </si>
  <si>
    <t>Económico</t>
  </si>
  <si>
    <t>Recursos Públicos</t>
  </si>
  <si>
    <t>Evento externo</t>
  </si>
  <si>
    <t>Daños Activos Fisicos</t>
  </si>
  <si>
    <t>Información</t>
  </si>
  <si>
    <t>Confidencialidad</t>
  </si>
  <si>
    <t>Automático</t>
  </si>
  <si>
    <t>Registro Sustancial</t>
  </si>
  <si>
    <t>Aceptar</t>
  </si>
  <si>
    <t>Finalizado</t>
  </si>
  <si>
    <t>Corrupción</t>
  </si>
  <si>
    <t>•	Talento humano</t>
  </si>
  <si>
    <t>Bienes Públicos</t>
  </si>
  <si>
    <t>Financiero</t>
  </si>
  <si>
    <t>NO</t>
  </si>
  <si>
    <t xml:space="preserve">Software </t>
  </si>
  <si>
    <t>Detectivo</t>
  </si>
  <si>
    <t>Sin Documentar</t>
  </si>
  <si>
    <t>Aleatoria</t>
  </si>
  <si>
    <t>Registro Material</t>
  </si>
  <si>
    <t>Evitar</t>
  </si>
  <si>
    <t>En curso</t>
  </si>
  <si>
    <t>Fiscal</t>
  </si>
  <si>
    <t>•	Tecnología</t>
  </si>
  <si>
    <t>Intereses Patrimoniales de Naturaleza Pública</t>
  </si>
  <si>
    <t>Infraestructura</t>
  </si>
  <si>
    <t>Fallas Tecnologicas</t>
  </si>
  <si>
    <t>Hardware</t>
  </si>
  <si>
    <t>Correctivo</t>
  </si>
  <si>
    <t>Sin registro</t>
  </si>
  <si>
    <t>Reducir</t>
  </si>
  <si>
    <t>•	Infraestructura</t>
  </si>
  <si>
    <t>Fraude Externo</t>
  </si>
  <si>
    <t>Servicios</t>
  </si>
  <si>
    <t>NO APLICA</t>
  </si>
  <si>
    <t>•	Evento externo</t>
  </si>
  <si>
    <t>Fraude Interno</t>
  </si>
  <si>
    <t>Intangibles</t>
  </si>
  <si>
    <t>Reducir (compartir)</t>
  </si>
  <si>
    <t>Tecnología</t>
  </si>
  <si>
    <t>Relaciones Laborales</t>
  </si>
  <si>
    <t>Componentes
de red</t>
  </si>
  <si>
    <t>Personas</t>
  </si>
  <si>
    <t>Instalaciones</t>
  </si>
  <si>
    <t xml:space="preserve"> fallas o debilidad en el monitoreo de los requisitos legales  y legales asociados a la gestión de los aspectos ambientales</t>
  </si>
  <si>
    <t xml:space="preserve">  falta de  seguimiento  a lo programado en la planeación frente a los tiempos normativos y los requerimientos del Sistema Integrado de Aseguramiento </t>
  </si>
  <si>
    <t xml:space="preserve">Posibilidad de afectación reputacional y/o económica por fallas o debilidad en el monitoreo de los requisitos legales  y legales asociados a la gestión de los aspectos ambientales,  debido a falta de  seguimiento  a lo programado en la planeación frente a los tiempos normativos y los requerimientos del Sistema Integrado de Aseguramiento </t>
  </si>
  <si>
    <t xml:space="preserve">
El profesional del Sistema de Gestión ambiental, de manera semestral realiza el seguimiento a la Matriz de requerimientos legales y se verifica su cumplimiento. En caso de evidenciar desviación del control; identificación de nueva normatividad extemporanea, se incluira en la matriz para su implementación.</t>
  </si>
  <si>
    <t xml:space="preserve">Seguimiento en el formato GSI-AM-FO-12 Matriz de Requisitos Legales </t>
  </si>
  <si>
    <t xml:space="preserve">GSI-AM-FO-12 Matriz de Requisitos Legales </t>
  </si>
  <si>
    <t xml:space="preserve">Implementar monitoreo en excel de los tramites ambientales  requeridos, en el que se incluye nombre del tramite, frecuencia y responsable </t>
  </si>
  <si>
    <t xml:space="preserve">Profesionales del Sistema de Gestión Ambiental </t>
  </si>
  <si>
    <t>Cuadro de Monitoreo de Tramites</t>
  </si>
  <si>
    <t>Manejo inadecuado de residuos peligrosos,</t>
  </si>
  <si>
    <t xml:space="preserve">1- desconocimiento o falta de apropiación de los lineamientos institucionales por parte de los responsables de las áreas y líderes de proceso
2- Insuficiente participación de la comunidad educativa y demás partes interesadas en los procesos de sensibilización y capacitación </t>
  </si>
  <si>
    <t>Posibilidad de afectación reputacional y/o económica por el manejo inadecuado de residuos peligrosos, debido al desconocimiento o falta de apropiación de los lineamientos institucionales por parte de los responsables de las áreas y líderes de proceso, así como a la insuficiente participación de la comunidad educativa y demás partes interesadas en los procesos de sensibilización y capacitación.</t>
  </si>
  <si>
    <t>El Profesional del Sistema de Gestión Ambiental,  por demanda  evalúa la aplicación de los procedimientos en las áreas generadoras mediante recorridos de observación directa y la suscripción de actas de compromiso con los líderes de área, con el fin de establecer acciones de mejora y asegurar el cumplimiento de la normativa de residuos peligrosos, ante la presencia de hallazgos, fallas operativas o reportes de manejo inadecuado de RESPEL en terreno.</t>
  </si>
  <si>
    <t>Actas de recorrido en sitio firmadas, correos de seguimiento y planes de acción o compromisos suscritos.</t>
  </si>
  <si>
    <t>Formalizar e institucionalizar el instrumento de inspección y el protocolo de seguimiento a puntos de generación y acopio de residuos peligrosos.</t>
  </si>
  <si>
    <t>Formato de inspección codificado en el SGA</t>
  </si>
  <si>
    <t>El Profesional del Sistema de Gestión Ambiental, de manera semestral, evalúa el nivel de asistencia de los líderes de área y la comunidad educativa mediante el cruce de los listados de asistencia frente al censo programado en el PIC, con el fin de reprogramar las jornadas de formación y asegurar la cobertura del conocimiento en residuos peligrosos, ante la identificación de baja participación o inasistencia en las actividades programadas.</t>
  </si>
  <si>
    <t>PIC, Listados de asistencia y evaluaciones de conocimiento cuando aplique</t>
  </si>
  <si>
    <t>Consolidar el indicador de asistencia tras cada jornada y notificar a los lideres de proceso y responsables de área  las inasistencias para agendar nuevamente la capacitacion correspondiente</t>
  </si>
  <si>
    <t>matriz de reprogramación y listados de asistencia consolidados.</t>
  </si>
  <si>
    <t>CRITERIOS PARA CALIFICAR EL IMPACTO EN RIESGOS DE CORRUPCIÓN</t>
  </si>
  <si>
    <t>ITEM</t>
  </si>
  <si>
    <t>Criterios para calificar el impacto en riesgos de corrupción</t>
  </si>
  <si>
    <t>MARACAR CON X</t>
  </si>
  <si>
    <t>Pregunta: ¿Si el riesgo de corrupción se materializa podría:</t>
  </si>
  <si>
    <t>¿Afectar al grupo de funcionarios del proceso?</t>
  </si>
  <si>
    <t>X</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</si>
  <si>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</si>
  <si>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</si>
  <si>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</si>
  <si>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</si>
  <si>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</si>
  <si>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</si>
  <si>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</si>
  <si>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</si>
  <si>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</si>
  <si>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</si>
  <si>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</si>
  <si>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</si>
  <si>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</si>
  <si>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</si>
  <si>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</si>
  <si>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</si>
  <si>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</si>
  <si>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</si>
  <si>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</si>
  <si>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</si>
  <si>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Redaccion del Riesgo General</t>
  </si>
  <si>
    <t xml:space="preserve">Redaccion del Riesgo  fiscal </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</si>
  <si>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</si>
  <si>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</si>
  <si>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</si>
  <si>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</si>
  <si>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</si>
  <si>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</si>
  <si>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</si>
  <si>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</si>
  <si>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</si>
  <si>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</si>
  <si>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</si>
  <si>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</si>
  <si>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</si>
  <si>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</si>
  <si>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</si>
  <si>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</si>
  <si>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</si>
  <si>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</si>
  <si>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</si>
  <si>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</si>
  <si>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</si>
  <si>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</si>
  <si>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</si>
  <si>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</si>
  <si>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</si>
  <si>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</si>
  <si>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</si>
  <si>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</si>
  <si>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</si>
  <si>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</si>
  <si>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</si>
  <si>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</si>
  <si>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</si>
  <si>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</si>
  <si>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</si>
  <si>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</si>
  <si>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</si>
  <si>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</si>
  <si>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</si>
  <si>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</si>
  <si>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</si>
  <si>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</si>
  <si>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</si>
  <si>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</si>
  <si>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</si>
  <si>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</si>
  <si>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</si>
  <si>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</si>
  <si>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</si>
  <si>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</si>
  <si>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</si>
  <si>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</si>
  <si>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</si>
  <si>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</si>
  <si>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</si>
  <si>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</si>
  <si>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</si>
  <si>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</si>
  <si>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</si>
  <si>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</si>
  <si>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</si>
  <si>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</si>
  <si>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</si>
  <si>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</si>
  <si>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</si>
  <si>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</si>
  <si>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</si>
  <si>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</si>
  <si>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</si>
  <si>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</si>
  <si>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</si>
  <si>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</si>
  <si>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</si>
  <si>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</si>
  <si>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</si>
  <si>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</si>
  <si>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</si>
  <si>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</si>
  <si>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</si>
  <si>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</si>
  <si>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</si>
  <si>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</si>
  <si>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</si>
  <si>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</si>
  <si>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</si>
  <si>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</si>
  <si>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</si>
  <si>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</si>
  <si>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</si>
  <si>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</si>
  <si>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</si>
  <si>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</si>
  <si>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</si>
  <si>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</si>
  <si>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</si>
  <si>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</si>
  <si>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</si>
  <si>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</si>
  <si>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</si>
  <si>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</si>
  <si>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</si>
  <si>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</si>
  <si>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</si>
  <si>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</si>
  <si>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</si>
  <si>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</si>
  <si>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</si>
  <si>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</si>
  <si>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</si>
  <si>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</si>
  <si>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</si>
  <si>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</si>
  <si>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</si>
  <si>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</si>
  <si>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</si>
  <si>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</si>
  <si>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</si>
  <si>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</si>
  <si>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</si>
  <si>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</si>
  <si>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</si>
  <si>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</si>
  <si>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</si>
  <si>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</si>
  <si>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</si>
  <si>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</si>
  <si>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</si>
  <si>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</si>
  <si>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</si>
  <si>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</si>
  <si>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</si>
  <si>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</si>
  <si>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</si>
  <si>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</si>
  <si>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Software</t>
  </si>
  <si>
    <t>Estratégico</t>
  </si>
  <si>
    <t>NA</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</si>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</sst>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111">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2"/>
      <name val="Arial"/>
      <family val="2"/>
    </font>
    <font>
      <sz val="6"/>
      <color theme="1"/>
      <name val="Arial"/>
      <family val="2"/>
    </font>
    <font>
      <b/>
      <sz val="14"/>
      <color rgb="FF000000"/>
      <name val="Arial"/>
      <family val="2"/>
    </font>
    <font>
      <sz val="14"/>
      <color rgb="FF000000"/>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b/>
      <sz val="11"/>
      <color theme="0"/>
      <name val="Times New Roman"/>
      <family val="1"/>
    </font>
    <font>
      <sz val="11"/>
      <color theme="0"/>
      <name val="Times New Roman"/>
      <family val="1"/>
    </font>
    <font>
      <sz val="11"/>
      <color rgb="FF7030A0"/>
      <name val="Calibri"/>
      <family val="2"/>
      <scheme val="minor"/>
    </font>
    <font>
      <b/>
      <sz val="16"/>
      <color rgb="FF7030A0"/>
      <name val="Times New Roman"/>
      <family val="1"/>
    </font>
    <font>
      <b/>
      <sz val="18"/>
      <color theme="0"/>
      <name val="Arial"/>
      <family val="2"/>
    </font>
    <font>
      <b/>
      <sz val="12"/>
      <color theme="0"/>
      <name val="Arial"/>
      <family val="2"/>
    </font>
    <font>
      <sz val="11"/>
      <color rgb="FF000000"/>
      <name val="Arial"/>
      <family val="2"/>
    </font>
    <font>
      <sz val="10"/>
      <color theme="0"/>
      <name val="Arial"/>
      <family val="2"/>
    </font>
    <font>
      <b/>
      <sz val="22"/>
      <color rgb="FF000000"/>
      <name val="Arial"/>
      <family val="2"/>
    </font>
    <font>
      <b/>
      <sz val="18"/>
      <name val="Arial"/>
      <family val="2"/>
    </font>
    <font>
      <sz val="11"/>
      <color theme="0"/>
      <name val="Arial"/>
      <family val="2"/>
    </font>
    <font>
      <sz val="11"/>
      <name val="Arial"/>
      <family val="2"/>
    </font>
    <font>
      <sz val="14"/>
      <name val="Arial"/>
      <family val="2"/>
    </font>
    <font>
      <b/>
      <sz val="14"/>
      <name val="Arial"/>
      <family val="2"/>
    </font>
    <font>
      <b/>
      <sz val="12"/>
      <color theme="0"/>
      <name val="Arial Black"/>
      <family val="2"/>
    </font>
    <font>
      <sz val="11"/>
      <color theme="9"/>
      <name val="Arial"/>
      <family val="2"/>
    </font>
    <font>
      <b/>
      <sz val="11"/>
      <name val="Arial"/>
      <family val="2"/>
    </font>
    <font>
      <u/>
      <sz val="11"/>
      <color theme="10"/>
      <name val="Calibri"/>
      <family val="2"/>
      <scheme val="minor"/>
    </font>
    <font>
      <sz val="11"/>
      <color rgb="FF000000"/>
      <name val="Calibri"/>
      <family val="2"/>
      <scheme val="minor"/>
    </font>
    <font>
      <b/>
      <sz val="10"/>
      <color rgb="FF000000"/>
      <name val="Arial"/>
      <family val="2"/>
    </font>
    <font>
      <sz val="11"/>
      <color rgb="FF000000"/>
      <name val="Calibri"/>
      <family val="2"/>
    </font>
    <font>
      <sz val="11"/>
      <color rgb="FF000000"/>
      <name val="Arial Narrow"/>
      <family val="2"/>
    </font>
    <font>
      <sz val="10"/>
      <color rgb="FF000000"/>
      <name val="Arial"/>
      <family val="2"/>
    </font>
    <font>
      <u/>
      <sz val="11"/>
      <color rgb="FF000000"/>
      <name val="Calibri"/>
      <family val="2"/>
      <scheme val="minor"/>
    </font>
    <font>
      <b/>
      <sz val="11"/>
      <color rgb="FFFF0000"/>
      <name val="Arial"/>
      <family val="2"/>
    </font>
    <font>
      <sz val="11"/>
      <color rgb="FFFF0000"/>
      <name val="Arial"/>
      <family val="2"/>
    </font>
    <font>
      <sz val="11"/>
      <color rgb="FFFF0000"/>
      <name val="Arial Narrow"/>
      <family val="2"/>
    </font>
    <font>
      <sz val="10"/>
      <color rgb="FFFF0000"/>
      <name val="Arial Narrow"/>
      <family val="2"/>
    </font>
    <font>
      <sz val="10"/>
      <color rgb="FFFF0000"/>
      <name val="Arial"/>
      <family val="2"/>
    </font>
    <font>
      <sz val="11"/>
      <color rgb="FF000000"/>
      <name val="Arial Narrow"/>
      <charset val="1"/>
    </font>
    <font>
      <sz val="11"/>
      <name val="Arial Narrow"/>
    </font>
    <font>
      <sz val="10"/>
      <color rgb="FF000000"/>
      <name val="Arial"/>
    </font>
  </fonts>
  <fills count="30">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2"/>
        <bgColor indexed="64"/>
      </patternFill>
    </fill>
    <fill>
      <patternFill patternType="solid">
        <fgColor theme="0" tint="-4.9989318521683403E-2"/>
        <bgColor indexed="64"/>
      </patternFill>
    </fill>
    <fill>
      <patternFill patternType="solid">
        <fgColor theme="6" tint="0.79998168889431442"/>
        <bgColor indexed="64"/>
      </patternFill>
    </fill>
  </fills>
  <borders count="116">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right style="thin">
        <color rgb="FF000000"/>
      </right>
      <top style="thin">
        <color auto="1"/>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rgb="FF000000"/>
      </bottom>
      <diagonal/>
    </border>
  </borders>
  <cellStyleXfs count="6">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96" fillId="0" borderId="0" applyNumberFormat="0" applyFill="0" applyBorder="0" applyAlignment="0" applyProtection="0"/>
  </cellStyleXfs>
  <cellXfs count="743">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57" fillId="0" borderId="0" xfId="0" applyFont="1" applyAlignment="1">
      <alignment horizontal="center"/>
    </xf>
    <xf numFmtId="0" fontId="59" fillId="0" borderId="0" xfId="0" applyFont="1" applyAlignment="1">
      <alignment horizontal="center" vertical="center" wrapText="1"/>
    </xf>
    <xf numFmtId="0" fontId="0" fillId="0" borderId="0" xfId="0" applyAlignment="1">
      <alignment wrapText="1"/>
    </xf>
    <xf numFmtId="0" fontId="59" fillId="0" borderId="0" xfId="0" applyFont="1" applyAlignment="1">
      <alignment vertical="center" wrapText="1"/>
    </xf>
    <xf numFmtId="0" fontId="55" fillId="0" borderId="63" xfId="0" applyFont="1" applyBorder="1" applyAlignment="1" applyProtection="1">
      <alignment horizontal="center" wrapText="1"/>
      <protection locked="0"/>
    </xf>
    <xf numFmtId="0" fontId="55" fillId="0" borderId="57" xfId="0" applyFont="1" applyBorder="1" applyAlignment="1" applyProtection="1">
      <alignment horizontal="center" wrapText="1"/>
      <protection locked="0"/>
    </xf>
    <xf numFmtId="0" fontId="54" fillId="0" borderId="57" xfId="0" applyFont="1" applyBorder="1" applyAlignment="1">
      <alignment horizontal="left" vertical="center"/>
    </xf>
    <xf numFmtId="0" fontId="0" fillId="17" borderId="0" xfId="0" applyFill="1"/>
    <xf numFmtId="0" fontId="65" fillId="17" borderId="0" xfId="0" applyFont="1" applyFill="1"/>
    <xf numFmtId="14" fontId="65" fillId="0" borderId="74" xfId="0" applyNumberFormat="1" applyFont="1" applyBorder="1" applyAlignment="1" applyProtection="1">
      <alignment horizontal="center" vertical="center"/>
      <protection locked="0"/>
    </xf>
    <xf numFmtId="0" fontId="65" fillId="0" borderId="74" xfId="0" applyFont="1" applyBorder="1" applyAlignment="1" applyProtection="1">
      <alignment horizontal="center" vertical="center"/>
      <protection locked="0"/>
    </xf>
    <xf numFmtId="0" fontId="65" fillId="0" borderId="74" xfId="0" applyFont="1" applyBorder="1" applyAlignment="1" applyProtection="1">
      <alignment horizontal="center" vertical="center" wrapText="1"/>
      <protection locked="0"/>
    </xf>
    <xf numFmtId="0" fontId="65" fillId="0" borderId="74" xfId="0" applyFont="1" applyBorder="1" applyAlignment="1" applyProtection="1">
      <alignment horizontal="justify" wrapText="1"/>
      <protection locked="0"/>
    </xf>
    <xf numFmtId="0" fontId="11" fillId="17" borderId="0" xfId="0" applyFont="1" applyFill="1"/>
    <xf numFmtId="0" fontId="66" fillId="0" borderId="24" xfId="0" applyFont="1" applyBorder="1" applyAlignment="1">
      <alignment horizontal="center" vertical="center"/>
    </xf>
    <xf numFmtId="0" fontId="66" fillId="0" borderId="85" xfId="0" applyFont="1" applyBorder="1" applyAlignment="1">
      <alignment horizontal="center" vertical="center" wrapText="1"/>
    </xf>
    <xf numFmtId="0" fontId="66"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70" fillId="16" borderId="74" xfId="0" applyNumberFormat="1" applyFont="1" applyFill="1" applyBorder="1" applyAlignment="1">
      <alignment horizontal="center" vertical="center" wrapText="1"/>
    </xf>
    <xf numFmtId="0" fontId="70" fillId="16" borderId="74" xfId="0" applyFont="1" applyFill="1" applyBorder="1" applyAlignment="1">
      <alignment horizontal="center" vertical="center" wrapText="1"/>
    </xf>
    <xf numFmtId="0" fontId="76" fillId="17" borderId="0" xfId="0" applyFont="1" applyFill="1" applyAlignment="1">
      <alignment horizontal="center" vertical="center" textRotation="90"/>
    </xf>
    <xf numFmtId="0" fontId="78" fillId="0" borderId="0" xfId="0" applyFont="1" applyAlignment="1">
      <alignment vertical="center"/>
    </xf>
    <xf numFmtId="0" fontId="81" fillId="0" borderId="0" xfId="0" applyFont="1"/>
    <xf numFmtId="0" fontId="76" fillId="0" borderId="0" xfId="0" applyFont="1" applyAlignment="1">
      <alignment horizontal="left" vertical="center"/>
    </xf>
    <xf numFmtId="0" fontId="65" fillId="0" borderId="91" xfId="0" applyFont="1" applyBorder="1" applyAlignment="1">
      <alignment horizontal="left" vertical="center"/>
    </xf>
    <xf numFmtId="0" fontId="65" fillId="0" borderId="92" xfId="0" applyFont="1" applyBorder="1" applyAlignment="1">
      <alignment horizontal="left" vertical="center"/>
    </xf>
    <xf numFmtId="0" fontId="81" fillId="3" borderId="0" xfId="0" applyFont="1" applyFill="1"/>
    <xf numFmtId="0" fontId="82" fillId="3" borderId="0" xfId="0" applyFont="1" applyFill="1" applyAlignment="1">
      <alignment horizontal="center" vertical="center"/>
    </xf>
    <xf numFmtId="0" fontId="0" fillId="0" borderId="85" xfId="0" applyBorder="1" applyAlignment="1">
      <alignment horizontal="center" vertical="center"/>
    </xf>
    <xf numFmtId="0" fontId="70" fillId="19" borderId="85" xfId="0" applyFont="1" applyFill="1" applyBorder="1" applyAlignment="1">
      <alignment horizontal="center" vertical="center"/>
    </xf>
    <xf numFmtId="0" fontId="79" fillId="18" borderId="0" xfId="0" applyFont="1" applyFill="1" applyAlignment="1">
      <alignment horizontal="center" vertical="center"/>
    </xf>
    <xf numFmtId="0" fontId="70" fillId="19" borderId="0" xfId="0" applyFont="1" applyFill="1" applyAlignment="1">
      <alignment horizontal="center" vertical="center"/>
    </xf>
    <xf numFmtId="0" fontId="80" fillId="0" borderId="0" xfId="0" applyFont="1" applyAlignment="1">
      <alignment horizontal="center"/>
    </xf>
    <xf numFmtId="0" fontId="80" fillId="0" borderId="0" xfId="0" applyFont="1" applyAlignment="1">
      <alignment horizontal="center" vertical="center"/>
    </xf>
    <xf numFmtId="0" fontId="72" fillId="21" borderId="27" xfId="0" applyFont="1" applyFill="1" applyBorder="1" applyAlignment="1">
      <alignment horizontal="center" vertical="center" wrapText="1"/>
    </xf>
    <xf numFmtId="0" fontId="72" fillId="21" borderId="28" xfId="0" applyFont="1" applyFill="1" applyBorder="1" applyAlignment="1">
      <alignment horizontal="center" vertical="center" wrapText="1"/>
    </xf>
    <xf numFmtId="0" fontId="85" fillId="3" borderId="21" xfId="0" applyFont="1" applyFill="1" applyBorder="1" applyAlignment="1" applyProtection="1">
      <alignment horizontal="justify" vertical="justify" wrapText="1"/>
      <protection locked="0"/>
    </xf>
    <xf numFmtId="0" fontId="71" fillId="0" borderId="22" xfId="0" applyFont="1" applyBorder="1" applyAlignment="1" applyProtection="1">
      <alignment horizontal="center" vertical="center" wrapText="1"/>
      <protection locked="0"/>
    </xf>
    <xf numFmtId="0" fontId="85" fillId="0" borderId="21" xfId="0" applyFont="1" applyBorder="1" applyAlignment="1" applyProtection="1">
      <alignment horizontal="justify" vertical="justify" wrapText="1"/>
      <protection locked="0"/>
    </xf>
    <xf numFmtId="0" fontId="71" fillId="0" borderId="21" xfId="0" applyFont="1" applyBorder="1" applyAlignment="1" applyProtection="1">
      <alignment horizontal="center" vertical="center" wrapText="1"/>
      <protection locked="0"/>
    </xf>
    <xf numFmtId="0" fontId="85"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72" fillId="21" borderId="25" xfId="0" applyFont="1" applyFill="1" applyBorder="1" applyAlignment="1">
      <alignment horizontal="center" vertical="center" wrapText="1"/>
    </xf>
    <xf numFmtId="0" fontId="71" fillId="21" borderId="21" xfId="0" applyFont="1" applyFill="1" applyBorder="1" applyAlignment="1" applyProtection="1">
      <alignment horizontal="center" vertical="center"/>
      <protection locked="0"/>
    </xf>
    <xf numFmtId="0" fontId="85" fillId="23" borderId="22" xfId="0" applyFont="1" applyFill="1" applyBorder="1" applyAlignment="1" applyProtection="1">
      <alignment horizontal="justify" vertical="justify" wrapText="1"/>
      <protection locked="0"/>
    </xf>
    <xf numFmtId="0" fontId="86" fillId="21" borderId="21" xfId="0" applyFont="1" applyFill="1" applyBorder="1" applyAlignment="1" applyProtection="1">
      <alignment horizontal="center" vertical="center"/>
      <protection locked="0"/>
    </xf>
    <xf numFmtId="0" fontId="85" fillId="24" borderId="21" xfId="0" applyFont="1" applyFill="1" applyBorder="1" applyAlignment="1" applyProtection="1">
      <alignment horizontal="justify" vertical="justify" wrapText="1"/>
      <protection locked="0"/>
    </xf>
    <xf numFmtId="0" fontId="85" fillId="22" borderId="67" xfId="0" applyFont="1" applyFill="1" applyBorder="1" applyAlignment="1" applyProtection="1">
      <alignment wrapText="1"/>
      <protection locked="0"/>
    </xf>
    <xf numFmtId="0" fontId="65"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60" fillId="18" borderId="0" xfId="0" applyFont="1" applyFill="1" applyAlignment="1">
      <alignment horizontal="center" vertical="center"/>
    </xf>
    <xf numFmtId="0" fontId="60" fillId="18" borderId="0" xfId="0" applyFont="1" applyFill="1" applyAlignment="1">
      <alignment horizontal="center" vertical="center" wrapText="1"/>
    </xf>
    <xf numFmtId="0" fontId="11" fillId="18" borderId="0" xfId="0" applyFont="1" applyFill="1" applyAlignment="1">
      <alignment wrapText="1"/>
    </xf>
    <xf numFmtId="0" fontId="65" fillId="0" borderId="0" xfId="0" applyFont="1"/>
    <xf numFmtId="0" fontId="65" fillId="0" borderId="0" xfId="0" applyFont="1" applyAlignment="1">
      <alignment horizontal="center" vertical="center"/>
    </xf>
    <xf numFmtId="0" fontId="65" fillId="0" borderId="0" xfId="0" applyFont="1" applyAlignment="1">
      <alignment horizontal="center"/>
    </xf>
    <xf numFmtId="0" fontId="87" fillId="0" borderId="57" xfId="0" applyFont="1" applyBorder="1" applyAlignment="1" applyProtection="1">
      <alignment horizontal="center" vertical="center"/>
      <protection locked="0"/>
    </xf>
    <xf numFmtId="0" fontId="65" fillId="3" borderId="0" xfId="0" applyFont="1" applyFill="1"/>
    <xf numFmtId="0" fontId="89" fillId="3" borderId="0" xfId="0" applyFont="1" applyFill="1"/>
    <xf numFmtId="0" fontId="83" fillId="3" borderId="66" xfId="0" applyFont="1" applyFill="1" applyBorder="1" applyAlignment="1">
      <alignment horizontal="center" vertical="center"/>
    </xf>
    <xf numFmtId="0" fontId="83" fillId="3" borderId="67" xfId="0" applyFont="1" applyFill="1" applyBorder="1" applyAlignment="1">
      <alignment horizontal="center" vertical="center"/>
    </xf>
    <xf numFmtId="0" fontId="83" fillId="3" borderId="65" xfId="0" applyFont="1" applyFill="1" applyBorder="1" applyAlignment="1">
      <alignment horizontal="center" vertical="center"/>
    </xf>
    <xf numFmtId="0" fontId="83" fillId="3" borderId="57" xfId="0" applyFont="1" applyFill="1" applyBorder="1" applyAlignment="1">
      <alignment horizontal="center" vertical="center"/>
    </xf>
    <xf numFmtId="0" fontId="83" fillId="3" borderId="40" xfId="0" applyFont="1" applyFill="1" applyBorder="1" applyAlignment="1">
      <alignment vertical="center"/>
    </xf>
    <xf numFmtId="0" fontId="70" fillId="3" borderId="0" xfId="0" applyFont="1" applyFill="1" applyAlignment="1">
      <alignment horizontal="center" vertical="center"/>
    </xf>
    <xf numFmtId="0" fontId="76" fillId="3" borderId="0" xfId="0" applyFont="1" applyFill="1" applyAlignment="1">
      <alignment horizontal="center" vertical="center"/>
    </xf>
    <xf numFmtId="0" fontId="76" fillId="2" borderId="0" xfId="0" applyFont="1" applyFill="1" applyAlignment="1">
      <alignment horizontal="center" vertical="center"/>
    </xf>
    <xf numFmtId="0" fontId="65" fillId="0" borderId="0" xfId="0" applyFont="1" applyAlignment="1">
      <alignment horizontal="center" vertical="center" wrapText="1"/>
    </xf>
    <xf numFmtId="0" fontId="65" fillId="0" borderId="21" xfId="0" applyFont="1" applyBorder="1" applyAlignment="1" applyProtection="1">
      <alignment horizontal="center" vertical="center" textRotation="90" wrapText="1"/>
      <protection locked="0"/>
    </xf>
    <xf numFmtId="0" fontId="65" fillId="3" borderId="0" xfId="0" applyFont="1" applyFill="1" applyAlignment="1">
      <alignment horizontal="center" vertical="center" wrapText="1"/>
    </xf>
    <xf numFmtId="0" fontId="65" fillId="0" borderId="3" xfId="0" applyFont="1" applyBorder="1" applyAlignment="1">
      <alignment horizontal="center" vertical="center"/>
    </xf>
    <xf numFmtId="0" fontId="65" fillId="0" borderId="2" xfId="0" applyFont="1" applyBorder="1" applyAlignment="1">
      <alignment horizontal="center" vertical="center"/>
    </xf>
    <xf numFmtId="0" fontId="65" fillId="0" borderId="0" xfId="0" applyFont="1" applyAlignment="1">
      <alignment horizontal="center" wrapText="1"/>
    </xf>
    <xf numFmtId="0" fontId="65" fillId="0" borderId="0" xfId="0" applyFont="1" applyAlignment="1">
      <alignment wrapText="1"/>
    </xf>
    <xf numFmtId="0" fontId="65" fillId="0" borderId="0" xfId="0" applyFont="1" applyAlignment="1">
      <alignment vertical="center"/>
    </xf>
    <xf numFmtId="0" fontId="93" fillId="16" borderId="21" xfId="0" applyFont="1" applyFill="1" applyBorder="1" applyAlignment="1">
      <alignment horizontal="center" vertical="center" wrapText="1"/>
    </xf>
    <xf numFmtId="0" fontId="90" fillId="0" borderId="21" xfId="0" applyFont="1" applyBorder="1" applyAlignment="1">
      <alignment horizontal="center" vertical="center" wrapText="1"/>
    </xf>
    <xf numFmtId="0" fontId="45" fillId="0" borderId="21" xfId="0" applyFont="1" applyBorder="1" applyAlignment="1" applyProtection="1">
      <alignment horizontal="justify" vertical="center" wrapText="1"/>
      <protection locked="0"/>
    </xf>
    <xf numFmtId="0" fontId="45" fillId="0" borderId="21" xfId="0" applyFont="1" applyBorder="1" applyAlignment="1" applyProtection="1">
      <alignment horizontal="left" vertical="center" wrapText="1"/>
      <protection locked="0"/>
    </xf>
    <xf numFmtId="0" fontId="90" fillId="0" borderId="21" xfId="0" applyFont="1" applyBorder="1" applyAlignment="1" applyProtection="1">
      <alignment horizontal="center" vertical="center" wrapText="1"/>
      <protection hidden="1"/>
    </xf>
    <xf numFmtId="0" fontId="90" fillId="0" borderId="21" xfId="0" applyFont="1" applyBorder="1" applyAlignment="1" applyProtection="1">
      <alignment horizontal="center" vertical="center" textRotation="90" wrapText="1"/>
      <protection locked="0"/>
    </xf>
    <xf numFmtId="9" fontId="90" fillId="0" borderId="21" xfId="0" applyNumberFormat="1" applyFont="1" applyBorder="1" applyAlignment="1" applyProtection="1">
      <alignment horizontal="center" vertical="center" wrapText="1"/>
      <protection hidden="1"/>
    </xf>
    <xf numFmtId="164" fontId="90" fillId="0" borderId="21" xfId="1" applyNumberFormat="1" applyFont="1" applyBorder="1" applyAlignment="1">
      <alignment horizontal="center" vertical="center" wrapText="1"/>
    </xf>
    <xf numFmtId="0" fontId="95" fillId="0" borderId="21" xfId="0" applyFont="1" applyBorder="1" applyAlignment="1" applyProtection="1">
      <alignment horizontal="center" vertical="center" textRotation="90" wrapText="1"/>
      <protection hidden="1"/>
    </xf>
    <xf numFmtId="0" fontId="1" fillId="0" borderId="21" xfId="0" applyFont="1" applyBorder="1" applyAlignment="1">
      <alignment horizontal="center" vertical="center"/>
    </xf>
    <xf numFmtId="0" fontId="65"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7"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84" fillId="16" borderId="21" xfId="0" applyFont="1" applyFill="1" applyBorder="1" applyAlignment="1">
      <alignment horizontal="center" vertical="center" textRotation="90"/>
    </xf>
    <xf numFmtId="0" fontId="59" fillId="0" borderId="68" xfId="0" applyFont="1" applyBorder="1" applyAlignment="1">
      <alignment horizontal="center" vertical="center" wrapText="1"/>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43" fillId="0" borderId="101" xfId="0" applyFont="1" applyBorder="1" applyAlignment="1" applyProtection="1">
      <alignment horizontal="center" vertical="center" wrapText="1"/>
      <protection locked="0"/>
    </xf>
    <xf numFmtId="0" fontId="83" fillId="3" borderId="0" xfId="0" applyFont="1" applyFill="1" applyAlignment="1">
      <alignment horizontal="center" vertical="center"/>
    </xf>
    <xf numFmtId="0" fontId="43" fillId="0" borderId="108" xfId="0" applyFont="1" applyBorder="1" applyAlignment="1" applyProtection="1">
      <alignment horizontal="center" vertical="center" wrapText="1"/>
      <protection locked="0"/>
    </xf>
    <xf numFmtId="0" fontId="84" fillId="16" borderId="63" xfId="0" applyFont="1" applyFill="1" applyBorder="1" applyAlignment="1">
      <alignment horizontal="center" vertical="center"/>
    </xf>
    <xf numFmtId="0" fontId="65" fillId="17" borderId="21" xfId="0" applyFont="1" applyFill="1" applyBorder="1" applyAlignment="1" applyProtection="1">
      <alignment horizontal="center" vertical="center" wrapText="1"/>
      <protection locked="0"/>
    </xf>
    <xf numFmtId="0" fontId="98" fillId="0" borderId="21" xfId="0" applyFont="1" applyBorder="1" applyAlignment="1">
      <alignment horizontal="left" vertical="center"/>
    </xf>
    <xf numFmtId="14" fontId="90" fillId="28" borderId="21" xfId="0" applyNumberFormat="1" applyFont="1" applyFill="1" applyBorder="1" applyAlignment="1" applyProtection="1">
      <alignment horizontal="center" vertical="center" wrapText="1"/>
      <protection locked="0"/>
    </xf>
    <xf numFmtId="0" fontId="65" fillId="29" borderId="21" xfId="0" applyFont="1" applyFill="1" applyBorder="1" applyAlignment="1" applyProtection="1">
      <alignment horizontal="center" vertical="center" wrapText="1"/>
      <protection locked="0"/>
    </xf>
    <xf numFmtId="0" fontId="85" fillId="0" borderId="0" xfId="0" applyFont="1" applyAlignment="1">
      <alignment horizontal="center" vertical="center" wrapText="1"/>
    </xf>
    <xf numFmtId="0" fontId="85" fillId="0" borderId="21" xfId="0" applyFont="1" applyBorder="1" applyAlignment="1">
      <alignment horizontal="center" vertical="center" wrapText="1"/>
    </xf>
    <xf numFmtId="0" fontId="2" fillId="0" borderId="21" xfId="0" applyFont="1" applyBorder="1" applyAlignment="1" applyProtection="1">
      <alignment horizontal="justify" vertical="center" wrapText="1"/>
      <protection locked="0"/>
    </xf>
    <xf numFmtId="0" fontId="2" fillId="0" borderId="21" xfId="0" applyFont="1" applyBorder="1" applyAlignment="1" applyProtection="1">
      <alignment horizontal="left" vertical="center" wrapText="1"/>
      <protection locked="0"/>
    </xf>
    <xf numFmtId="0" fontId="85" fillId="0" borderId="21" xfId="0" applyFont="1" applyBorder="1" applyAlignment="1" applyProtection="1">
      <alignment horizontal="center" vertical="center" wrapText="1"/>
      <protection hidden="1"/>
    </xf>
    <xf numFmtId="0" fontId="85" fillId="0" borderId="21" xfId="0" applyFont="1" applyBorder="1" applyAlignment="1" applyProtection="1">
      <alignment horizontal="center" vertical="center" textRotation="90" wrapText="1"/>
      <protection locked="0"/>
    </xf>
    <xf numFmtId="9" fontId="85" fillId="0" borderId="21" xfId="0" applyNumberFormat="1" applyFont="1" applyBorder="1" applyAlignment="1" applyProtection="1">
      <alignment horizontal="center" vertical="center" wrapText="1"/>
      <protection hidden="1"/>
    </xf>
    <xf numFmtId="0" fontId="101" fillId="0" borderId="101" xfId="0" applyFont="1" applyBorder="1" applyAlignment="1" applyProtection="1">
      <alignment horizontal="center" vertical="center" wrapText="1"/>
      <protection locked="0"/>
    </xf>
    <xf numFmtId="164" fontId="85" fillId="0" borderId="21" xfId="1" applyNumberFormat="1" applyFont="1" applyBorder="1" applyAlignment="1">
      <alignment horizontal="center" vertical="center" wrapText="1"/>
    </xf>
    <xf numFmtId="0" fontId="77" fillId="0" borderId="21" xfId="0" applyFont="1" applyBorder="1" applyAlignment="1" applyProtection="1">
      <alignment horizontal="center" vertical="center" textRotation="90" wrapText="1"/>
      <protection hidden="1"/>
    </xf>
    <xf numFmtId="14" fontId="85" fillId="28" borderId="21" xfId="0" applyNumberFormat="1" applyFont="1" applyFill="1" applyBorder="1" applyAlignment="1" applyProtection="1">
      <alignment horizontal="center" vertical="center" wrapText="1"/>
      <protection locked="0"/>
    </xf>
    <xf numFmtId="0" fontId="85" fillId="17" borderId="21" xfId="0" applyFont="1" applyFill="1" applyBorder="1" applyAlignment="1">
      <alignment horizontal="center" vertical="center" wrapText="1"/>
    </xf>
    <xf numFmtId="14" fontId="102" fillId="17" borderId="21" xfId="5" applyNumberFormat="1" applyFont="1" applyFill="1" applyBorder="1" applyAlignment="1">
      <alignment horizontal="center" vertical="center" wrapText="1"/>
    </xf>
    <xf numFmtId="0" fontId="85" fillId="29" borderId="21" xfId="0" applyFont="1" applyFill="1" applyBorder="1" applyAlignment="1" applyProtection="1">
      <alignment horizontal="center" vertical="center" wrapText="1"/>
      <protection locked="0"/>
    </xf>
    <xf numFmtId="14" fontId="102" fillId="3" borderId="0" xfId="5" applyNumberFormat="1" applyFont="1" applyFill="1" applyAlignment="1">
      <alignment horizontal="center" vertical="center" wrapText="1"/>
    </xf>
    <xf numFmtId="0" fontId="85" fillId="3" borderId="0" xfId="0" applyFont="1" applyFill="1" applyAlignment="1">
      <alignment horizontal="center" vertical="center" wrapText="1"/>
    </xf>
    <xf numFmtId="0" fontId="100" fillId="0" borderId="21" xfId="0" applyFont="1" applyBorder="1" applyAlignment="1">
      <alignment horizontal="center" vertical="center"/>
    </xf>
    <xf numFmtId="0" fontId="102" fillId="17" borderId="21" xfId="5" applyFont="1" applyFill="1" applyBorder="1" applyAlignment="1">
      <alignment horizontal="center" vertical="center" wrapText="1"/>
    </xf>
    <xf numFmtId="0" fontId="102" fillId="3" borderId="0" xfId="5" applyFont="1" applyFill="1" applyAlignment="1">
      <alignment horizontal="center" vertical="center" wrapText="1"/>
    </xf>
    <xf numFmtId="0" fontId="85" fillId="17" borderId="21" xfId="0" applyFont="1" applyFill="1" applyBorder="1" applyAlignment="1" applyProtection="1">
      <alignment horizontal="center" vertical="center" wrapText="1"/>
      <protection locked="0"/>
    </xf>
    <xf numFmtId="0" fontId="104" fillId="0" borderId="21" xfId="0" applyFont="1" applyBorder="1" applyAlignment="1">
      <alignment horizontal="center" vertical="center" wrapText="1"/>
    </xf>
    <xf numFmtId="0" fontId="106" fillId="0" borderId="21" xfId="0" applyFont="1" applyBorder="1" applyAlignment="1" applyProtection="1">
      <alignment horizontal="justify" vertical="center" wrapText="1"/>
      <protection locked="0"/>
    </xf>
    <xf numFmtId="0" fontId="106" fillId="0" borderId="21" xfId="0" applyFont="1" applyBorder="1" applyAlignment="1" applyProtection="1">
      <alignment horizontal="left" vertical="center" wrapText="1"/>
      <protection locked="0"/>
    </xf>
    <xf numFmtId="0" fontId="104" fillId="0" borderId="21"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textRotation="90" wrapText="1"/>
      <protection locked="0"/>
    </xf>
    <xf numFmtId="9" fontId="104" fillId="0" borderId="21" xfId="0" applyNumberFormat="1" applyFont="1" applyBorder="1" applyAlignment="1" applyProtection="1">
      <alignment horizontal="center" vertical="center" wrapText="1"/>
      <protection hidden="1"/>
    </xf>
    <xf numFmtId="0" fontId="107" fillId="0" borderId="101" xfId="0" applyFont="1" applyBorder="1" applyAlignment="1" applyProtection="1">
      <alignment horizontal="center" vertical="center" wrapText="1"/>
      <protection locked="0"/>
    </xf>
    <xf numFmtId="164" fontId="104" fillId="0" borderId="21" xfId="1" applyNumberFormat="1" applyFont="1" applyBorder="1" applyAlignment="1">
      <alignment horizontal="center" vertical="center" wrapText="1"/>
    </xf>
    <xf numFmtId="0" fontId="103" fillId="0" borderId="21" xfId="0" applyFont="1" applyBorder="1" applyAlignment="1" applyProtection="1">
      <alignment horizontal="center" vertical="center" textRotation="90" wrapText="1"/>
      <protection hidden="1"/>
    </xf>
    <xf numFmtId="14" fontId="104" fillId="28" borderId="21" xfId="0" applyNumberFormat="1" applyFont="1" applyFill="1" applyBorder="1" applyAlignment="1" applyProtection="1">
      <alignment horizontal="center" vertical="center" wrapText="1"/>
      <protection locked="0"/>
    </xf>
    <xf numFmtId="0" fontId="104" fillId="17" borderId="21" xfId="0" applyFont="1" applyFill="1" applyBorder="1" applyAlignment="1" applyProtection="1">
      <alignment horizontal="center" vertical="center" wrapText="1"/>
      <protection locked="0"/>
    </xf>
    <xf numFmtId="0" fontId="104" fillId="29" borderId="21" xfId="0" applyFont="1" applyFill="1" applyBorder="1" applyAlignment="1" applyProtection="1">
      <alignment horizontal="center" vertical="center" wrapText="1"/>
      <protection locked="0"/>
    </xf>
    <xf numFmtId="0" fontId="104" fillId="3" borderId="0" xfId="0" applyFont="1" applyFill="1" applyAlignment="1">
      <alignment horizontal="center" vertical="center" wrapText="1"/>
    </xf>
    <xf numFmtId="0" fontId="104" fillId="0" borderId="0" xfId="0" applyFont="1" applyAlignment="1">
      <alignment horizontal="center" vertical="center" wrapText="1"/>
    </xf>
    <xf numFmtId="0" fontId="105" fillId="0" borderId="21" xfId="0" applyFont="1" applyBorder="1" applyAlignment="1">
      <alignment horizontal="center" vertical="center"/>
    </xf>
    <xf numFmtId="0" fontId="100" fillId="23" borderId="22" xfId="0" applyFont="1" applyFill="1" applyBorder="1" applyAlignment="1">
      <alignment wrapText="1"/>
    </xf>
    <xf numFmtId="0" fontId="100" fillId="23" borderId="106" xfId="0" applyFont="1" applyFill="1" applyBorder="1" applyAlignment="1">
      <alignment vertical="center" wrapText="1"/>
    </xf>
    <xf numFmtId="0" fontId="85" fillId="23" borderId="106" xfId="0" applyFont="1" applyFill="1" applyBorder="1" applyAlignment="1">
      <alignment vertical="center" wrapText="1"/>
    </xf>
    <xf numFmtId="0" fontId="100" fillId="23" borderId="22" xfId="0" applyFont="1" applyFill="1" applyBorder="1" applyAlignment="1">
      <alignment horizontal="left" vertical="center" wrapText="1"/>
    </xf>
    <xf numFmtId="0" fontId="2" fillId="0" borderId="21" xfId="0" applyFont="1" applyBorder="1" applyAlignment="1">
      <alignment horizontal="center" vertical="center" wrapText="1"/>
    </xf>
    <xf numFmtId="0" fontId="2" fillId="0" borderId="67" xfId="0" applyFont="1" applyBorder="1" applyAlignment="1">
      <alignment horizontal="center" vertical="center" wrapText="1"/>
    </xf>
    <xf numFmtId="0" fontId="2" fillId="23" borderId="22" xfId="0" applyFont="1" applyFill="1" applyBorder="1" applyAlignment="1">
      <alignment horizontal="center" vertical="center" wrapText="1"/>
    </xf>
    <xf numFmtId="0" fontId="2" fillId="23" borderId="106" xfId="0" applyFont="1" applyFill="1" applyBorder="1" applyAlignment="1">
      <alignment horizontal="center" vertical="center" wrapText="1"/>
    </xf>
    <xf numFmtId="0" fontId="110" fillId="0" borderId="21" xfId="0" applyFont="1" applyBorder="1" applyAlignment="1" applyProtection="1">
      <alignment horizontal="justify" vertical="center" wrapText="1"/>
      <protection locked="0"/>
    </xf>
    <xf numFmtId="0" fontId="101" fillId="0" borderId="21" xfId="0" applyFont="1" applyBorder="1" applyAlignment="1" applyProtection="1">
      <alignment horizontal="justify" vertical="center" wrapText="1"/>
      <protection locked="0"/>
    </xf>
    <xf numFmtId="0" fontId="2" fillId="3" borderId="21" xfId="0" applyFont="1" applyFill="1" applyBorder="1" applyAlignment="1" applyProtection="1">
      <alignment horizontal="left" vertical="center" wrapText="1"/>
      <protection locked="0"/>
    </xf>
    <xf numFmtId="0" fontId="76" fillId="0" borderId="0" xfId="0" applyFont="1" applyAlignment="1">
      <alignment horizontal="center"/>
    </xf>
    <xf numFmtId="0" fontId="76" fillId="0" borderId="72" xfId="0" applyFont="1" applyBorder="1" applyAlignment="1">
      <alignment horizontal="center"/>
    </xf>
    <xf numFmtId="0" fontId="84" fillId="16" borderId="66" xfId="0" applyFont="1" applyFill="1" applyBorder="1" applyAlignment="1">
      <alignment horizontal="center" vertical="center"/>
    </xf>
    <xf numFmtId="0" fontId="84" fillId="16" borderId="65" xfId="0" applyFont="1" applyFill="1" applyBorder="1" applyAlignment="1">
      <alignment horizontal="center" vertical="center"/>
    </xf>
    <xf numFmtId="0" fontId="84" fillId="18" borderId="21" xfId="0" applyFont="1" applyFill="1" applyBorder="1" applyAlignment="1">
      <alignment horizontal="center" vertical="center" wrapText="1"/>
    </xf>
    <xf numFmtId="0" fontId="84" fillId="18" borderId="67" xfId="0" applyFont="1" applyFill="1" applyBorder="1" applyAlignment="1">
      <alignment horizontal="center" vertical="center" wrapText="1"/>
    </xf>
    <xf numFmtId="0" fontId="84" fillId="16" borderId="99" xfId="0" applyFont="1" applyFill="1" applyBorder="1" applyAlignment="1">
      <alignment horizontal="center" vertical="center" wrapText="1"/>
    </xf>
    <xf numFmtId="0" fontId="84" fillId="16" borderId="105" xfId="0" applyFont="1" applyFill="1" applyBorder="1" applyAlignment="1">
      <alignment horizontal="center" vertical="center" wrapText="1"/>
    </xf>
    <xf numFmtId="0" fontId="84" fillId="16" borderId="63" xfId="0" applyFont="1" applyFill="1" applyBorder="1" applyAlignment="1">
      <alignment horizontal="center" vertical="center" wrapText="1"/>
    </xf>
    <xf numFmtId="0" fontId="84" fillId="16" borderId="106" xfId="0" applyFont="1" applyFill="1" applyBorder="1" applyAlignment="1">
      <alignment horizontal="center" vertical="center" wrapText="1"/>
    </xf>
    <xf numFmtId="0" fontId="84" fillId="16" borderId="21" xfId="0" applyFont="1" applyFill="1" applyBorder="1" applyAlignment="1">
      <alignment horizontal="center" vertical="center"/>
    </xf>
    <xf numFmtId="0" fontId="84" fillId="16" borderId="22" xfId="0" applyFont="1" applyFill="1" applyBorder="1" applyAlignment="1">
      <alignment horizontal="center" vertical="center"/>
    </xf>
    <xf numFmtId="0" fontId="62" fillId="0" borderId="95" xfId="0" applyFont="1" applyBorder="1" applyAlignment="1">
      <alignment horizontal="center" vertical="center" wrapText="1"/>
    </xf>
    <xf numFmtId="0" fontId="62" fillId="0" borderId="96" xfId="0" applyFont="1" applyBorder="1" applyAlignment="1">
      <alignment horizontal="center" vertical="center" wrapText="1"/>
    </xf>
    <xf numFmtId="0" fontId="62" fillId="0" borderId="110" xfId="0" applyFont="1" applyBorder="1" applyAlignment="1">
      <alignment horizontal="center" vertical="center" wrapText="1"/>
    </xf>
    <xf numFmtId="0" fontId="62" fillId="0" borderId="86" xfId="0" applyFont="1" applyBorder="1" applyAlignment="1">
      <alignment horizontal="center" vertical="center" wrapText="1"/>
    </xf>
    <xf numFmtId="0" fontId="62" fillId="0" borderId="0" xfId="0" applyFont="1" applyAlignment="1">
      <alignment horizontal="center" vertical="center" wrapText="1"/>
    </xf>
    <xf numFmtId="0" fontId="62" fillId="0" borderId="72"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111" xfId="0" applyFont="1" applyBorder="1" applyAlignment="1">
      <alignment horizontal="center" vertical="center" wrapText="1"/>
    </xf>
    <xf numFmtId="0" fontId="87" fillId="0" borderId="21" xfId="0" applyFont="1" applyBorder="1" applyAlignment="1" applyProtection="1">
      <alignment horizontal="center" vertical="center"/>
      <protection locked="0"/>
    </xf>
    <xf numFmtId="0" fontId="83" fillId="16" borderId="66" xfId="0" applyFont="1" applyFill="1" applyBorder="1" applyAlignment="1">
      <alignment horizontal="left" vertical="center"/>
    </xf>
    <xf numFmtId="0" fontId="83" fillId="16" borderId="65" xfId="0" applyFont="1" applyFill="1" applyBorder="1" applyAlignment="1">
      <alignment horizontal="left" vertical="center"/>
    </xf>
    <xf numFmtId="0" fontId="83" fillId="16" borderId="67" xfId="0" applyFont="1" applyFill="1" applyBorder="1" applyAlignment="1">
      <alignment horizontal="left" vertical="center"/>
    </xf>
    <xf numFmtId="0" fontId="88" fillId="0" borderId="66" xfId="0" applyFont="1" applyBorder="1" applyAlignment="1">
      <alignment horizontal="left" vertical="center"/>
    </xf>
    <xf numFmtId="0" fontId="88" fillId="0" borderId="65" xfId="0" applyFont="1" applyBorder="1" applyAlignment="1">
      <alignment horizontal="left" vertical="center"/>
    </xf>
    <xf numFmtId="0" fontId="88" fillId="0" borderId="66" xfId="0" applyFont="1" applyBorder="1" applyAlignment="1">
      <alignment horizontal="left" vertical="center" wrapText="1"/>
    </xf>
    <xf numFmtId="0" fontId="84" fillId="16" borderId="21" xfId="0" applyFont="1" applyFill="1" applyBorder="1" applyAlignment="1">
      <alignment horizontal="center" vertical="center" textRotation="90"/>
    </xf>
    <xf numFmtId="0" fontId="84" fillId="16" borderId="21" xfId="0" applyFont="1" applyFill="1" applyBorder="1" applyAlignment="1">
      <alignment horizontal="center" vertical="center" wrapText="1"/>
    </xf>
    <xf numFmtId="0" fontId="84" fillId="16" borderId="101" xfId="0" applyFont="1" applyFill="1" applyBorder="1" applyAlignment="1">
      <alignment horizontal="center" vertical="center"/>
    </xf>
    <xf numFmtId="0" fontId="84" fillId="16" borderId="101" xfId="0" applyFont="1" applyFill="1" applyBorder="1" applyAlignment="1">
      <alignment horizontal="center" vertical="center" wrapText="1"/>
    </xf>
    <xf numFmtId="0" fontId="84" fillId="16" borderId="22" xfId="0" applyFont="1" applyFill="1" applyBorder="1" applyAlignment="1">
      <alignment horizontal="center" vertical="center" wrapText="1"/>
    </xf>
    <xf numFmtId="0" fontId="88" fillId="0" borderId="65" xfId="0" applyFont="1" applyBorder="1" applyAlignment="1">
      <alignment horizontal="left" vertical="center" wrapText="1"/>
    </xf>
    <xf numFmtId="0" fontId="84" fillId="16" borderId="21" xfId="0" applyFont="1" applyFill="1" applyBorder="1" applyAlignment="1">
      <alignment horizontal="center" vertical="center" textRotation="90" wrapText="1"/>
    </xf>
    <xf numFmtId="0" fontId="93" fillId="16" borderId="66" xfId="0" applyFont="1" applyFill="1" applyBorder="1" applyAlignment="1">
      <alignment horizontal="center" vertical="center" wrapText="1"/>
    </xf>
    <xf numFmtId="0" fontId="93" fillId="16" borderId="67" xfId="0" applyFont="1" applyFill="1" applyBorder="1" applyAlignment="1">
      <alignment horizontal="center" vertical="center" wrapText="1"/>
    </xf>
    <xf numFmtId="0" fontId="56" fillId="26" borderId="102" xfId="0" applyFont="1" applyFill="1" applyBorder="1" applyAlignment="1">
      <alignment horizontal="center" vertical="center" wrapText="1"/>
    </xf>
    <xf numFmtId="0" fontId="56" fillId="26" borderId="22" xfId="0" applyFont="1" applyFill="1" applyBorder="1" applyAlignment="1">
      <alignment horizontal="center" vertical="center" wrapText="1"/>
    </xf>
    <xf numFmtId="14" fontId="90" fillId="26" borderId="102" xfId="0" applyNumberFormat="1" applyFont="1" applyFill="1" applyBorder="1" applyAlignment="1">
      <alignment horizontal="center" vertical="center" wrapText="1"/>
    </xf>
    <xf numFmtId="14" fontId="90" fillId="26" borderId="22" xfId="0" applyNumberFormat="1" applyFont="1" applyFill="1" applyBorder="1" applyAlignment="1">
      <alignment horizontal="center" vertical="center" wrapText="1"/>
    </xf>
    <xf numFmtId="0" fontId="84" fillId="16" borderId="101" xfId="0" applyFont="1" applyFill="1" applyBorder="1" applyAlignment="1">
      <alignment horizontal="center" vertical="center" textRotation="90"/>
    </xf>
    <xf numFmtId="0" fontId="84" fillId="16" borderId="102" xfId="0" applyFont="1" applyFill="1" applyBorder="1" applyAlignment="1">
      <alignment horizontal="center" vertical="center" textRotation="90"/>
    </xf>
    <xf numFmtId="0" fontId="84" fillId="16" borderId="22" xfId="0" applyFont="1" applyFill="1" applyBorder="1" applyAlignment="1">
      <alignment horizontal="center" vertical="center" textRotation="90"/>
    </xf>
    <xf numFmtId="0" fontId="85" fillId="0" borderId="101" xfId="0" applyFont="1" applyBorder="1" applyAlignment="1" applyProtection="1">
      <alignment horizontal="center" vertical="center" wrapText="1"/>
      <protection locked="0"/>
    </xf>
    <xf numFmtId="0" fontId="85" fillId="0" borderId="22" xfId="0" applyFont="1" applyBorder="1" applyAlignment="1" applyProtection="1">
      <alignment horizontal="center" vertical="center" wrapText="1"/>
      <protection locked="0"/>
    </xf>
    <xf numFmtId="0" fontId="85" fillId="27" borderId="101" xfId="0" applyFont="1" applyFill="1" applyBorder="1" applyAlignment="1" applyProtection="1">
      <alignment horizontal="center" vertical="center" wrapText="1"/>
      <protection locked="0"/>
    </xf>
    <xf numFmtId="0" fontId="85" fillId="27" borderId="22" xfId="0" applyFont="1" applyFill="1" applyBorder="1" applyAlignment="1" applyProtection="1">
      <alignment horizontal="center" vertical="center" wrapText="1"/>
      <protection locked="0"/>
    </xf>
    <xf numFmtId="0" fontId="77" fillId="0" borderId="101" xfId="0" applyFont="1" applyBorder="1" applyAlignment="1" applyProtection="1">
      <alignment horizontal="center" vertical="center" wrapText="1"/>
      <protection hidden="1"/>
    </xf>
    <xf numFmtId="0" fontId="77" fillId="0" borderId="22" xfId="0" applyFont="1" applyBorder="1" applyAlignment="1" applyProtection="1">
      <alignment horizontal="center" vertical="center" wrapText="1"/>
      <protection hidden="1"/>
    </xf>
    <xf numFmtId="14" fontId="90" fillId="26" borderId="109" xfId="0" applyNumberFormat="1" applyFont="1" applyFill="1" applyBorder="1" applyAlignment="1">
      <alignment horizontal="center" vertical="center" wrapText="1"/>
    </xf>
    <xf numFmtId="0" fontId="77" fillId="0" borderId="101" xfId="0" applyFont="1" applyBorder="1" applyAlignment="1">
      <alignment horizontal="center" vertical="center" wrapText="1"/>
    </xf>
    <xf numFmtId="0" fontId="77" fillId="0" borderId="22" xfId="0" applyFont="1" applyBorder="1" applyAlignment="1">
      <alignment horizontal="center" vertical="center" wrapText="1"/>
    </xf>
    <xf numFmtId="0" fontId="85" fillId="0" borderId="101" xfId="0" applyFont="1" applyBorder="1" applyAlignment="1">
      <alignment horizontal="center" vertical="center" wrapText="1"/>
    </xf>
    <xf numFmtId="0" fontId="85" fillId="0" borderId="22" xfId="0" applyFont="1" applyBorder="1" applyAlignment="1">
      <alignment horizontal="center" vertical="center" wrapText="1"/>
    </xf>
    <xf numFmtId="0" fontId="85" fillId="27" borderId="101" xfId="0" applyFont="1" applyFill="1" applyBorder="1" applyAlignment="1">
      <alignment horizontal="center" vertical="center" wrapText="1"/>
    </xf>
    <xf numFmtId="0" fontId="85" fillId="27" borderId="22" xfId="0" applyFont="1" applyFill="1" applyBorder="1" applyAlignment="1">
      <alignment horizontal="center" vertical="center" wrapText="1"/>
    </xf>
    <xf numFmtId="0" fontId="100" fillId="0" borderId="101" xfId="0" applyFont="1" applyBorder="1" applyAlignment="1" applyProtection="1">
      <alignment horizontal="center" vertical="center" wrapText="1"/>
      <protection locked="0"/>
    </xf>
    <xf numFmtId="0" fontId="100" fillId="0" borderId="22" xfId="0" applyFont="1" applyBorder="1" applyAlignment="1" applyProtection="1">
      <alignment horizontal="center" vertical="center" wrapText="1"/>
      <protection locked="0"/>
    </xf>
    <xf numFmtId="14" fontId="90" fillId="29" borderId="101" xfId="0" applyNumberFormat="1" applyFont="1" applyFill="1" applyBorder="1" applyAlignment="1" applyProtection="1">
      <alignment horizontal="center" vertical="center" wrapText="1"/>
      <protection locked="0"/>
    </xf>
    <xf numFmtId="14" fontId="90" fillId="29" borderId="102" xfId="0" applyNumberFormat="1" applyFont="1" applyFill="1" applyBorder="1" applyAlignment="1" applyProtection="1">
      <alignment horizontal="center" vertical="center" wrapText="1"/>
      <protection locked="0"/>
    </xf>
    <xf numFmtId="14" fontId="90" fillId="29" borderId="22" xfId="0" applyNumberFormat="1" applyFont="1" applyFill="1" applyBorder="1" applyAlignment="1" applyProtection="1">
      <alignment horizontal="center" vertical="center" wrapText="1"/>
      <protection locked="0"/>
    </xf>
    <xf numFmtId="14" fontId="100" fillId="0" borderId="101" xfId="0" applyNumberFormat="1" applyFont="1" applyBorder="1" applyAlignment="1" applyProtection="1">
      <alignment horizontal="center" vertical="center" wrapText="1"/>
      <protection locked="0"/>
    </xf>
    <xf numFmtId="14" fontId="100" fillId="0" borderId="22" xfId="0" applyNumberFormat="1" applyFont="1" applyBorder="1" applyAlignment="1" applyProtection="1">
      <alignment horizontal="center" vertical="center" wrapText="1"/>
      <protection locked="0"/>
    </xf>
    <xf numFmtId="14" fontId="85" fillId="0" borderId="101" xfId="0" applyNumberFormat="1" applyFont="1" applyBorder="1" applyAlignment="1" applyProtection="1">
      <alignment horizontal="center" vertical="center" wrapText="1"/>
      <protection locked="0"/>
    </xf>
    <xf numFmtId="14" fontId="85" fillId="0" borderId="22" xfId="0" applyNumberFormat="1" applyFont="1" applyBorder="1" applyAlignment="1" applyProtection="1">
      <alignment horizontal="center" vertical="center" wrapText="1"/>
      <protection locked="0"/>
    </xf>
    <xf numFmtId="14" fontId="90" fillId="17" borderId="101" xfId="0" applyNumberFormat="1" applyFont="1" applyFill="1" applyBorder="1" applyAlignment="1">
      <alignment horizontal="center" vertical="center" wrapText="1"/>
    </xf>
    <xf numFmtId="14" fontId="90" fillId="17" borderId="102" xfId="0" applyNumberFormat="1" applyFont="1" applyFill="1" applyBorder="1" applyAlignment="1">
      <alignment horizontal="center" vertical="center" wrapText="1"/>
    </xf>
    <xf numFmtId="14" fontId="90" fillId="17" borderId="22" xfId="0" applyNumberFormat="1" applyFont="1" applyFill="1" applyBorder="1" applyAlignment="1">
      <alignment horizontal="center" vertical="center" wrapText="1"/>
    </xf>
    <xf numFmtId="9" fontId="85" fillId="0" borderId="101" xfId="0" applyNumberFormat="1" applyFont="1" applyBorder="1" applyAlignment="1" applyProtection="1">
      <alignment horizontal="center" vertical="center" wrapText="1"/>
      <protection hidden="1"/>
    </xf>
    <xf numFmtId="9" fontId="85" fillId="0" borderId="22" xfId="0" applyNumberFormat="1" applyFont="1" applyBorder="1" applyAlignment="1" applyProtection="1">
      <alignment horizontal="center" vertical="center" wrapText="1"/>
      <protection hidden="1"/>
    </xf>
    <xf numFmtId="9" fontId="85" fillId="0" borderId="101" xfId="0" applyNumberFormat="1" applyFont="1" applyBorder="1" applyAlignment="1" applyProtection="1">
      <alignment horizontal="center" vertical="center" wrapText="1"/>
      <protection locked="0"/>
    </xf>
    <xf numFmtId="9" fontId="85" fillId="0" borderId="22" xfId="0" applyNumberFormat="1" applyFont="1" applyBorder="1" applyAlignment="1" applyProtection="1">
      <alignment horizontal="center" vertical="center" wrapText="1"/>
      <protection locked="0"/>
    </xf>
    <xf numFmtId="0" fontId="85" fillId="0" borderId="101" xfId="0" applyFont="1" applyBorder="1" applyAlignment="1" applyProtection="1">
      <alignment horizontal="center" vertical="center" textRotation="90" wrapText="1"/>
      <protection locked="0"/>
    </xf>
    <xf numFmtId="0" fontId="85" fillId="0" borderId="22" xfId="0" applyFont="1" applyBorder="1" applyAlignment="1" applyProtection="1">
      <alignment horizontal="center" vertical="center" textRotation="90" wrapText="1"/>
      <protection locked="0"/>
    </xf>
    <xf numFmtId="0" fontId="109" fillId="0" borderId="101" xfId="0" applyFont="1" applyBorder="1" applyAlignment="1" applyProtection="1">
      <alignment horizontal="center" vertical="center" wrapText="1"/>
      <protection locked="0"/>
    </xf>
    <xf numFmtId="0" fontId="109" fillId="0" borderId="22" xfId="0" applyFont="1" applyBorder="1" applyAlignment="1" applyProtection="1">
      <alignment horizontal="center" vertical="center" wrapText="1"/>
      <protection locked="0"/>
    </xf>
    <xf numFmtId="0" fontId="104" fillId="0" borderId="101" xfId="0" applyFont="1" applyBorder="1" applyAlignment="1" applyProtection="1">
      <alignment horizontal="center" vertical="center" wrapText="1"/>
      <protection locked="0"/>
    </xf>
    <xf numFmtId="0" fontId="104" fillId="0" borderId="22" xfId="0" applyFont="1" applyBorder="1" applyAlignment="1" applyProtection="1">
      <alignment horizontal="center" vertical="center" wrapText="1"/>
      <protection locked="0"/>
    </xf>
    <xf numFmtId="0" fontId="90" fillId="0" borderId="101" xfId="0" applyFont="1" applyBorder="1" applyAlignment="1" applyProtection="1">
      <alignment horizontal="center" vertical="center" wrapText="1"/>
      <protection locked="0"/>
    </xf>
    <xf numFmtId="0" fontId="90" fillId="0" borderId="22" xfId="0" applyFont="1" applyBorder="1" applyAlignment="1" applyProtection="1">
      <alignment horizontal="center" vertical="center" wrapText="1"/>
      <protection locked="0"/>
    </xf>
    <xf numFmtId="0" fontId="95" fillId="0" borderId="101" xfId="0" applyFont="1" applyBorder="1" applyAlignment="1" applyProtection="1">
      <alignment horizontal="center" vertical="center" wrapText="1"/>
      <protection hidden="1"/>
    </xf>
    <xf numFmtId="0" fontId="95" fillId="0" borderId="22" xfId="0" applyFont="1" applyBorder="1" applyAlignment="1" applyProtection="1">
      <alignment horizontal="center" vertical="center" wrapText="1"/>
      <protection hidden="1"/>
    </xf>
    <xf numFmtId="9" fontId="90" fillId="0" borderId="101" xfId="0" applyNumberFormat="1" applyFont="1" applyBorder="1" applyAlignment="1" applyProtection="1">
      <alignment horizontal="center" vertical="center" wrapText="1"/>
      <protection hidden="1"/>
    </xf>
    <xf numFmtId="9" fontId="90" fillId="0" borderId="22" xfId="0" applyNumberFormat="1" applyFont="1" applyBorder="1" applyAlignment="1" applyProtection="1">
      <alignment horizontal="center" vertical="center" wrapText="1"/>
      <protection hidden="1"/>
    </xf>
    <xf numFmtId="0" fontId="90" fillId="0" borderId="101" xfId="0" applyFont="1" applyBorder="1" applyAlignment="1">
      <alignment horizontal="center" vertical="center" wrapText="1"/>
    </xf>
    <xf numFmtId="0" fontId="90" fillId="0" borderId="22" xfId="0" applyFont="1" applyBorder="1" applyAlignment="1">
      <alignment horizontal="center" vertical="center" wrapText="1"/>
    </xf>
    <xf numFmtId="0" fontId="90" fillId="27" borderId="101" xfId="0" applyFont="1" applyFill="1" applyBorder="1" applyAlignment="1">
      <alignment horizontal="center" vertical="center" wrapText="1"/>
    </xf>
    <xf numFmtId="0" fontId="90" fillId="27" borderId="22" xfId="0" applyFont="1" applyFill="1" applyBorder="1" applyAlignment="1">
      <alignment horizontal="center" vertical="center" wrapText="1"/>
    </xf>
    <xf numFmtId="0" fontId="1" fillId="0" borderId="101"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90" fillId="0" borderId="101" xfId="0" applyFont="1" applyBorder="1" applyAlignment="1" applyProtection="1">
      <alignment horizontal="center" vertical="center" textRotation="90" wrapText="1"/>
      <protection locked="0"/>
    </xf>
    <xf numFmtId="0" fontId="90" fillId="0" borderId="22" xfId="0" applyFont="1" applyBorder="1" applyAlignment="1" applyProtection="1">
      <alignment horizontal="center" vertical="center" textRotation="90" wrapText="1"/>
      <protection locked="0"/>
    </xf>
    <xf numFmtId="14" fontId="1" fillId="0" borderId="101" xfId="0" applyNumberFormat="1" applyFont="1" applyBorder="1" applyAlignment="1" applyProtection="1">
      <alignment horizontal="center" vertical="center" wrapText="1"/>
      <protection locked="0"/>
    </xf>
    <xf numFmtId="14" fontId="1" fillId="0" borderId="22" xfId="0" applyNumberFormat="1" applyFont="1" applyBorder="1" applyAlignment="1" applyProtection="1">
      <alignment horizontal="center" vertical="center" wrapText="1"/>
      <protection locked="0"/>
    </xf>
    <xf numFmtId="14" fontId="90" fillId="0" borderId="101" xfId="0" applyNumberFormat="1" applyFont="1" applyBorder="1" applyAlignment="1" applyProtection="1">
      <alignment horizontal="center" vertical="center" wrapText="1"/>
      <protection locked="0"/>
    </xf>
    <xf numFmtId="14" fontId="90" fillId="0" borderId="22" xfId="0" applyNumberFormat="1" applyFont="1" applyBorder="1" applyAlignment="1" applyProtection="1">
      <alignment horizontal="center" vertical="center" wrapText="1"/>
      <protection locked="0"/>
    </xf>
    <xf numFmtId="0" fontId="90" fillId="27" borderId="101" xfId="0" applyFont="1" applyFill="1" applyBorder="1" applyAlignment="1" applyProtection="1">
      <alignment horizontal="center" vertical="center" wrapText="1"/>
      <protection locked="0"/>
    </xf>
    <xf numFmtId="0" fontId="90" fillId="27" borderId="22" xfId="0" applyFont="1" applyFill="1" applyBorder="1" applyAlignment="1" applyProtection="1">
      <alignment horizontal="center" vertical="center" wrapText="1"/>
      <protection locked="0"/>
    </xf>
    <xf numFmtId="0" fontId="65" fillId="0" borderId="101" xfId="0" applyFont="1" applyBorder="1" applyAlignment="1">
      <alignment horizontal="center" vertical="center" wrapText="1"/>
    </xf>
    <xf numFmtId="0" fontId="65" fillId="0" borderId="22" xfId="0" applyFont="1" applyBorder="1" applyAlignment="1">
      <alignment horizontal="center" vertical="center" wrapText="1"/>
    </xf>
    <xf numFmtId="0" fontId="95" fillId="0" borderId="101" xfId="0" applyFont="1" applyBorder="1" applyAlignment="1">
      <alignment horizontal="center" vertical="center" wrapText="1"/>
    </xf>
    <xf numFmtId="0" fontId="95" fillId="0" borderId="22" xfId="0" applyFont="1" applyBorder="1" applyAlignment="1">
      <alignment horizontal="center" vertical="center" wrapText="1"/>
    </xf>
    <xf numFmtId="9" fontId="90" fillId="0" borderId="101" xfId="0" applyNumberFormat="1" applyFont="1" applyBorder="1" applyAlignment="1" applyProtection="1">
      <alignment horizontal="center" vertical="center" wrapText="1"/>
      <protection locked="0"/>
    </xf>
    <xf numFmtId="9" fontId="90" fillId="0" borderId="22" xfId="0" applyNumberFormat="1" applyFont="1" applyBorder="1" applyAlignment="1" applyProtection="1">
      <alignment horizontal="center" vertical="center" wrapText="1"/>
      <protection locked="0"/>
    </xf>
    <xf numFmtId="0" fontId="76" fillId="0" borderId="101" xfId="0" applyFont="1" applyBorder="1" applyAlignment="1">
      <alignment horizontal="center" vertical="center" wrapText="1"/>
    </xf>
    <xf numFmtId="0" fontId="76" fillId="0" borderId="22" xfId="0" applyFont="1" applyBorder="1" applyAlignment="1">
      <alignment horizontal="center" vertical="center" wrapText="1"/>
    </xf>
    <xf numFmtId="0" fontId="59" fillId="0" borderId="68" xfId="0" applyFont="1" applyBorder="1" applyAlignment="1">
      <alignment horizontal="center" vertical="center" wrapText="1"/>
    </xf>
    <xf numFmtId="0" fontId="0" fillId="0" borderId="103" xfId="0" applyBorder="1" applyAlignment="1">
      <alignment horizontal="left" wrapText="1"/>
    </xf>
    <xf numFmtId="0" fontId="0" fillId="0" borderId="103" xfId="0" applyBorder="1" applyAlignment="1">
      <alignment horizontal="left"/>
    </xf>
    <xf numFmtId="0" fontId="58" fillId="0" borderId="68" xfId="0" applyFont="1" applyBorder="1" applyAlignment="1">
      <alignment horizontal="center" vertical="center" wrapText="1"/>
    </xf>
    <xf numFmtId="0" fontId="91" fillId="0" borderId="21" xfId="0" applyFont="1" applyBorder="1" applyAlignment="1">
      <alignment horizontal="left" vertical="center" wrapText="1"/>
    </xf>
    <xf numFmtId="0" fontId="92" fillId="0" borderId="66" xfId="0" applyFont="1" applyBorder="1" applyAlignment="1">
      <alignment horizontal="left" vertical="center" wrapText="1"/>
    </xf>
    <xf numFmtId="0" fontId="92" fillId="0" borderId="65" xfId="0" applyFont="1" applyBorder="1" applyAlignment="1">
      <alignment horizontal="left" vertical="center" wrapText="1"/>
    </xf>
    <xf numFmtId="0" fontId="92" fillId="0" borderId="67" xfId="0" applyFont="1" applyBorder="1" applyAlignment="1">
      <alignment horizontal="left" vertical="center" wrapText="1"/>
    </xf>
    <xf numFmtId="0" fontId="65" fillId="0" borderId="64" xfId="0" applyFont="1" applyBorder="1" applyAlignment="1">
      <alignment horizontal="left" vertical="center" wrapText="1"/>
    </xf>
    <xf numFmtId="14" fontId="85" fillId="28" borderId="101" xfId="0" applyNumberFormat="1" applyFont="1" applyFill="1" applyBorder="1" applyAlignment="1" applyProtection="1">
      <alignment horizontal="center" vertical="center" wrapText="1"/>
      <protection locked="0"/>
    </xf>
    <xf numFmtId="14" fontId="85" fillId="28" borderId="22" xfId="0" applyNumberFormat="1" applyFont="1" applyFill="1" applyBorder="1" applyAlignment="1" applyProtection="1">
      <alignment horizontal="center" vertical="center" wrapText="1"/>
      <protection locked="0"/>
    </xf>
    <xf numFmtId="0" fontId="61" fillId="0" borderId="0" xfId="0" applyFont="1" applyAlignment="1">
      <alignment horizontal="center" wrapText="1"/>
    </xf>
    <xf numFmtId="0" fontId="64" fillId="0" borderId="88" xfId="0" applyFont="1" applyBorder="1" applyAlignment="1">
      <alignment horizontal="center" vertical="center" wrapText="1"/>
    </xf>
    <xf numFmtId="0" fontId="64" fillId="0" borderId="12"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71" xfId="0" applyFont="1" applyBorder="1" applyAlignment="1">
      <alignment horizontal="center" vertical="center" wrapText="1"/>
    </xf>
    <xf numFmtId="0" fontId="64" fillId="0" borderId="0" xfId="0" applyFont="1" applyAlignment="1">
      <alignment horizontal="center" vertical="center" wrapText="1"/>
    </xf>
    <xf numFmtId="0" fontId="64" fillId="0" borderId="72"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78" xfId="0" applyFont="1" applyBorder="1" applyAlignment="1">
      <alignment horizontal="center" vertical="center" wrapText="1"/>
    </xf>
    <xf numFmtId="0" fontId="62" fillId="0" borderId="5" xfId="0" applyFont="1" applyBorder="1" applyAlignment="1">
      <alignment horizontal="center" wrapText="1"/>
    </xf>
    <xf numFmtId="0" fontId="62" fillId="0" borderId="6" xfId="0" applyFont="1" applyBorder="1" applyAlignment="1">
      <alignment horizontal="center" wrapText="1"/>
    </xf>
    <xf numFmtId="0" fontId="62" fillId="0" borderId="7" xfId="0" applyFont="1" applyBorder="1" applyAlignment="1">
      <alignment horizontal="center" wrapText="1"/>
    </xf>
    <xf numFmtId="0" fontId="62" fillId="0" borderId="8" xfId="0" applyFont="1" applyBorder="1" applyAlignment="1">
      <alignment horizontal="center" wrapText="1"/>
    </xf>
    <xf numFmtId="0" fontId="62" fillId="0" borderId="9" xfId="0" applyFont="1" applyBorder="1" applyAlignment="1">
      <alignment horizontal="center" wrapText="1"/>
    </xf>
    <xf numFmtId="0" fontId="62" fillId="0" borderId="10" xfId="0" applyFont="1" applyBorder="1" applyAlignment="1">
      <alignment horizontal="center" wrapText="1"/>
    </xf>
    <xf numFmtId="0" fontId="54" fillId="0" borderId="76" xfId="0" applyFont="1" applyBorder="1" applyAlignment="1">
      <alignment horizontal="left" vertical="center"/>
    </xf>
    <xf numFmtId="0" fontId="54" fillId="0" borderId="6" xfId="0" applyFont="1" applyBorder="1" applyAlignment="1">
      <alignment horizontal="left" vertical="center"/>
    </xf>
    <xf numFmtId="0" fontId="54" fillId="0" borderId="77" xfId="0" applyFont="1" applyBorder="1" applyAlignment="1">
      <alignment horizontal="left" vertical="center"/>
    </xf>
    <xf numFmtId="0" fontId="54" fillId="0" borderId="8" xfId="0" applyFont="1" applyBorder="1" applyAlignment="1">
      <alignment horizontal="left" vertical="center"/>
    </xf>
    <xf numFmtId="0" fontId="54" fillId="0" borderId="79" xfId="0" applyFont="1" applyBorder="1" applyAlignment="1">
      <alignment horizontal="left" vertical="center"/>
    </xf>
    <xf numFmtId="0" fontId="54" fillId="0" borderId="10" xfId="0" applyFont="1" applyBorder="1" applyAlignment="1">
      <alignment horizontal="left" vertical="center"/>
    </xf>
    <xf numFmtId="14" fontId="90" fillId="28" borderId="101" xfId="0" applyNumberFormat="1" applyFont="1" applyFill="1" applyBorder="1" applyAlignment="1" applyProtection="1">
      <alignment horizontal="center" vertical="center" wrapText="1"/>
      <protection locked="0"/>
    </xf>
    <xf numFmtId="14" fontId="90" fillId="28" borderId="102" xfId="0" applyNumberFormat="1" applyFont="1" applyFill="1" applyBorder="1" applyAlignment="1" applyProtection="1">
      <alignment horizontal="center" vertical="center" wrapText="1"/>
      <protection locked="0"/>
    </xf>
    <xf numFmtId="14" fontId="90" fillId="28" borderId="22" xfId="0" applyNumberFormat="1" applyFont="1" applyFill="1" applyBorder="1" applyAlignment="1" applyProtection="1">
      <alignment horizontal="center" vertical="center" wrapText="1"/>
      <protection locked="0"/>
    </xf>
    <xf numFmtId="14" fontId="105" fillId="0" borderId="101" xfId="0" applyNumberFormat="1" applyFont="1" applyBorder="1" applyAlignment="1" applyProtection="1">
      <alignment horizontal="center" vertical="center" wrapText="1"/>
      <protection locked="0"/>
    </xf>
    <xf numFmtId="14" fontId="105" fillId="0" borderId="22" xfId="0" applyNumberFormat="1" applyFont="1" applyBorder="1" applyAlignment="1" applyProtection="1">
      <alignment horizontal="center" vertical="center" wrapText="1"/>
      <protection locked="0"/>
    </xf>
    <xf numFmtId="14" fontId="104" fillId="0" borderId="101" xfId="0" applyNumberFormat="1" applyFont="1" applyBorder="1" applyAlignment="1" applyProtection="1">
      <alignment horizontal="center" vertical="center" wrapText="1"/>
      <protection locked="0"/>
    </xf>
    <xf numFmtId="14" fontId="104" fillId="0" borderId="22" xfId="0" applyNumberFormat="1" applyFont="1" applyBorder="1" applyAlignment="1" applyProtection="1">
      <alignment horizontal="center" vertical="center" wrapText="1"/>
      <protection locked="0"/>
    </xf>
    <xf numFmtId="0" fontId="105" fillId="0" borderId="101" xfId="0" applyFont="1" applyBorder="1" applyAlignment="1" applyProtection="1">
      <alignment horizontal="center" vertical="center" wrapText="1"/>
      <protection locked="0"/>
    </xf>
    <xf numFmtId="0" fontId="105" fillId="0" borderId="22" xfId="0" applyFont="1" applyBorder="1" applyAlignment="1" applyProtection="1">
      <alignment horizontal="center" vertical="center" wrapText="1"/>
      <protection locked="0"/>
    </xf>
    <xf numFmtId="0" fontId="103" fillId="0" borderId="101" xfId="0" applyFont="1" applyBorder="1" applyAlignment="1" applyProtection="1">
      <alignment horizontal="center" vertical="center" wrapText="1"/>
      <protection hidden="1"/>
    </xf>
    <xf numFmtId="0" fontId="103" fillId="0" borderId="22" xfId="0" applyFont="1" applyBorder="1" applyAlignment="1" applyProtection="1">
      <alignment horizontal="center" vertical="center" wrapText="1"/>
      <protection hidden="1"/>
    </xf>
    <xf numFmtId="0" fontId="104" fillId="0" borderId="101" xfId="0" applyFont="1" applyBorder="1" applyAlignment="1" applyProtection="1">
      <alignment horizontal="center" vertical="center" textRotation="90" wrapText="1"/>
      <protection locked="0"/>
    </xf>
    <xf numFmtId="0" fontId="104" fillId="0" borderId="22" xfId="0" applyFont="1" applyBorder="1" applyAlignment="1" applyProtection="1">
      <alignment horizontal="center" vertical="center" textRotation="90" wrapText="1"/>
      <protection locked="0"/>
    </xf>
    <xf numFmtId="9" fontId="104" fillId="0" borderId="101" xfId="0" applyNumberFormat="1" applyFont="1" applyBorder="1" applyAlignment="1" applyProtection="1">
      <alignment horizontal="center" vertical="center" wrapText="1"/>
      <protection hidden="1"/>
    </xf>
    <xf numFmtId="9" fontId="104" fillId="0" borderId="22" xfId="0" applyNumberFormat="1" applyFont="1" applyBorder="1" applyAlignment="1" applyProtection="1">
      <alignment horizontal="center" vertical="center" wrapText="1"/>
      <protection hidden="1"/>
    </xf>
    <xf numFmtId="0" fontId="104" fillId="0" borderId="101" xfId="0" applyFont="1" applyBorder="1" applyAlignment="1">
      <alignment horizontal="center" vertical="center" wrapText="1"/>
    </xf>
    <xf numFmtId="0" fontId="104" fillId="0" borderId="22" xfId="0" applyFont="1" applyBorder="1" applyAlignment="1">
      <alignment horizontal="center" vertical="center" wrapText="1"/>
    </xf>
    <xf numFmtId="0" fontId="104" fillId="27" borderId="101" xfId="0" applyFont="1" applyFill="1" applyBorder="1" applyAlignment="1">
      <alignment horizontal="center" vertical="center" wrapText="1"/>
    </xf>
    <xf numFmtId="0" fontId="104" fillId="27" borderId="22" xfId="0" applyFont="1" applyFill="1" applyBorder="1" applyAlignment="1">
      <alignment horizontal="center" vertical="center" wrapText="1"/>
    </xf>
    <xf numFmtId="0" fontId="103" fillId="0" borderId="101" xfId="0" applyFont="1" applyBorder="1" applyAlignment="1">
      <alignment horizontal="center" vertical="center" wrapText="1"/>
    </xf>
    <xf numFmtId="0" fontId="103" fillId="0" borderId="22" xfId="0" applyFont="1" applyBorder="1" applyAlignment="1">
      <alignment horizontal="center" vertical="center" wrapText="1"/>
    </xf>
    <xf numFmtId="0" fontId="104" fillId="27" borderId="101" xfId="0" applyFont="1" applyFill="1" applyBorder="1" applyAlignment="1" applyProtection="1">
      <alignment horizontal="center" vertical="center" wrapText="1"/>
      <protection locked="0"/>
    </xf>
    <xf numFmtId="0" fontId="104" fillId="27" borderId="22" xfId="0" applyFont="1" applyFill="1" applyBorder="1" applyAlignment="1" applyProtection="1">
      <alignment horizontal="center" vertical="center" wrapText="1"/>
      <protection locked="0"/>
    </xf>
    <xf numFmtId="9" fontId="104" fillId="0" borderId="101" xfId="0" applyNumberFormat="1" applyFont="1" applyBorder="1" applyAlignment="1" applyProtection="1">
      <alignment horizontal="center" vertical="center" wrapText="1"/>
      <protection locked="0"/>
    </xf>
    <xf numFmtId="9" fontId="104" fillId="0" borderId="22" xfId="0" applyNumberFormat="1" applyFont="1" applyBorder="1" applyAlignment="1" applyProtection="1">
      <alignment horizontal="center" vertical="center" wrapText="1"/>
      <protection locked="0"/>
    </xf>
    <xf numFmtId="0" fontId="100" fillId="0" borderId="102" xfId="0" applyFont="1" applyBorder="1" applyAlignment="1" applyProtection="1">
      <alignment horizontal="center" vertical="center" wrapText="1"/>
      <protection locked="0"/>
    </xf>
    <xf numFmtId="0" fontId="84" fillId="16" borderId="107" xfId="0" applyFont="1" applyFill="1" applyBorder="1" applyAlignment="1">
      <alignment horizontal="center" vertical="center"/>
    </xf>
    <xf numFmtId="0" fontId="84" fillId="16" borderId="104" xfId="0" applyFont="1" applyFill="1" applyBorder="1" applyAlignment="1">
      <alignment horizontal="center" vertical="center" wrapText="1"/>
    </xf>
    <xf numFmtId="0" fontId="100" fillId="0" borderId="101" xfId="0" applyFont="1" applyBorder="1" applyAlignment="1">
      <alignment horizontal="center" wrapText="1"/>
    </xf>
    <xf numFmtId="0" fontId="100" fillId="0" borderId="115" xfId="0" applyFont="1" applyBorder="1" applyAlignment="1">
      <alignment horizontal="center" wrapText="1"/>
    </xf>
    <xf numFmtId="0" fontId="100" fillId="0" borderId="102" xfId="0" applyFont="1" applyBorder="1" applyAlignment="1">
      <alignment horizontal="center" wrapText="1"/>
    </xf>
    <xf numFmtId="0" fontId="108" fillId="0" borderId="101" xfId="0" applyFont="1" applyBorder="1" applyAlignment="1" applyProtection="1">
      <alignment horizontal="center" vertical="center" wrapText="1"/>
      <protection locked="0"/>
    </xf>
    <xf numFmtId="0" fontId="0" fillId="5" borderId="0" xfId="0" applyFill="1" applyAlignment="1">
      <alignment horizontal="center"/>
    </xf>
    <xf numFmtId="0" fontId="2" fillId="0" borderId="101"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100" fillId="23" borderId="101" xfId="0" applyFont="1" applyFill="1" applyBorder="1" applyAlignment="1">
      <alignment vertical="center" wrapText="1"/>
    </xf>
    <xf numFmtId="0" fontId="100" fillId="23" borderId="115" xfId="0" applyFont="1" applyFill="1" applyBorder="1" applyAlignment="1">
      <alignment vertical="center" wrapText="1"/>
    </xf>
    <xf numFmtId="0" fontId="85" fillId="3" borderId="101" xfId="0" applyFont="1" applyFill="1" applyBorder="1" applyAlignment="1">
      <alignment horizontal="left" vertical="center" wrapText="1"/>
    </xf>
    <xf numFmtId="0" fontId="85" fillId="3" borderId="115" xfId="0" applyFont="1" applyFill="1" applyBorder="1" applyAlignment="1">
      <alignment horizontal="left" vertical="center" wrapText="1"/>
    </xf>
    <xf numFmtId="0" fontId="97" fillId="0" borderId="112" xfId="0" applyFont="1" applyBorder="1" applyAlignment="1">
      <alignment horizontal="center" wrapText="1"/>
    </xf>
    <xf numFmtId="0" fontId="97" fillId="0" borderId="113" xfId="0" applyFont="1" applyBorder="1" applyAlignment="1">
      <alignment horizontal="center" wrapText="1"/>
    </xf>
    <xf numFmtId="0" fontId="97" fillId="0" borderId="114" xfId="0" applyFont="1" applyBorder="1" applyAlignment="1">
      <alignment horizontal="center" wrapText="1"/>
    </xf>
    <xf numFmtId="0" fontId="65" fillId="0" borderId="23" xfId="0" applyFont="1" applyBorder="1" applyAlignment="1">
      <alignment horizontal="left" vertical="center" wrapText="1"/>
    </xf>
    <xf numFmtId="0" fontId="65" fillId="0" borderId="35" xfId="0" applyFont="1" applyBorder="1" applyAlignment="1">
      <alignment horizontal="left" vertical="center" wrapText="1"/>
    </xf>
    <xf numFmtId="0" fontId="64" fillId="0" borderId="94" xfId="0" applyFont="1" applyBorder="1" applyAlignment="1">
      <alignment horizontal="center" vertical="center" wrapText="1"/>
    </xf>
    <xf numFmtId="0" fontId="64" fillId="0" borderId="90" xfId="0" applyFont="1" applyBorder="1" applyAlignment="1">
      <alignment horizontal="center" vertical="center" wrapText="1"/>
    </xf>
    <xf numFmtId="0" fontId="64" fillId="0" borderId="93" xfId="0" applyFont="1" applyBorder="1" applyAlignment="1">
      <alignment horizontal="center" vertical="center" wrapText="1"/>
    </xf>
    <xf numFmtId="0" fontId="60" fillId="18" borderId="94" xfId="0" applyFont="1" applyFill="1" applyBorder="1" applyAlignment="1">
      <alignment horizontal="center" vertical="center"/>
    </xf>
    <xf numFmtId="0" fontId="60" fillId="18" borderId="90" xfId="0" applyFont="1" applyFill="1" applyBorder="1" applyAlignment="1">
      <alignment horizontal="center" vertical="center"/>
    </xf>
    <xf numFmtId="0" fontId="60" fillId="18" borderId="93" xfId="0" applyFont="1" applyFill="1" applyBorder="1" applyAlignment="1">
      <alignment horizontal="center" vertical="center"/>
    </xf>
    <xf numFmtId="0" fontId="70" fillId="18" borderId="5" xfId="0" applyFont="1" applyFill="1" applyBorder="1" applyAlignment="1">
      <alignment horizontal="center" vertical="center"/>
    </xf>
    <xf numFmtId="0" fontId="70" fillId="18" borderId="6" xfId="0" applyFont="1" applyFill="1" applyBorder="1" applyAlignment="1">
      <alignment horizontal="center" vertical="center"/>
    </xf>
    <xf numFmtId="0" fontId="70" fillId="18" borderId="9" xfId="0" applyFont="1" applyFill="1" applyBorder="1" applyAlignment="1">
      <alignment horizontal="center" vertical="center"/>
    </xf>
    <xf numFmtId="0" fontId="70" fillId="18" borderId="10" xfId="0" applyFont="1" applyFill="1" applyBorder="1" applyAlignment="1">
      <alignment horizontal="center" vertical="center"/>
    </xf>
    <xf numFmtId="0" fontId="70" fillId="19" borderId="9" xfId="0" applyFont="1" applyFill="1" applyBorder="1" applyAlignment="1">
      <alignment horizontal="center" vertical="center"/>
    </xf>
    <xf numFmtId="0" fontId="70" fillId="19" borderId="10" xfId="0" applyFont="1" applyFill="1" applyBorder="1" applyAlignment="1">
      <alignment horizontal="center" vertical="center"/>
    </xf>
    <xf numFmtId="0" fontId="70" fillId="18" borderId="5" xfId="0" applyFont="1" applyFill="1" applyBorder="1" applyAlignment="1">
      <alignment horizontal="center" vertical="center" wrapText="1"/>
    </xf>
    <xf numFmtId="0" fontId="70" fillId="18" borderId="6" xfId="0" applyFont="1" applyFill="1" applyBorder="1" applyAlignment="1">
      <alignment horizontal="center" vertical="center" wrapText="1"/>
    </xf>
    <xf numFmtId="0" fontId="70" fillId="18" borderId="9" xfId="0" applyFont="1" applyFill="1" applyBorder="1" applyAlignment="1">
      <alignment horizontal="center" vertical="center" wrapText="1"/>
    </xf>
    <xf numFmtId="0" fontId="70"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7" xfId="0" applyFont="1" applyBorder="1" applyAlignment="1">
      <alignment horizontal="left" vertical="center"/>
    </xf>
    <xf numFmtId="0" fontId="54" fillId="0" borderId="9" xfId="0" applyFont="1" applyBorder="1" applyAlignment="1">
      <alignment horizontal="left" vertical="center"/>
    </xf>
    <xf numFmtId="0" fontId="76" fillId="20" borderId="91" xfId="0" applyFont="1" applyFill="1" applyBorder="1" applyAlignment="1">
      <alignment horizontal="center" vertical="center" wrapText="1"/>
    </xf>
    <xf numFmtId="0" fontId="76" fillId="20" borderId="100" xfId="0" applyFont="1" applyFill="1" applyBorder="1" applyAlignment="1">
      <alignment horizontal="center" vertical="center" wrapText="1"/>
    </xf>
    <xf numFmtId="0" fontId="76" fillId="20" borderId="25" xfId="0" applyFont="1" applyFill="1" applyBorder="1" applyAlignment="1">
      <alignment horizontal="center" vertical="center" wrapText="1"/>
    </xf>
    <xf numFmtId="0" fontId="76" fillId="20" borderId="21" xfId="0" applyFont="1" applyFill="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7" fillId="0" borderId="5" xfId="0" applyFont="1" applyBorder="1" applyAlignment="1">
      <alignment horizontal="center" wrapText="1"/>
    </xf>
    <xf numFmtId="0" fontId="67" fillId="0" borderId="12" xfId="0" applyFont="1" applyBorder="1" applyAlignment="1">
      <alignment horizontal="center" wrapText="1"/>
    </xf>
    <xf numFmtId="0" fontId="67" fillId="0" borderId="6" xfId="0" applyFont="1" applyBorder="1" applyAlignment="1">
      <alignment horizontal="center" wrapText="1"/>
    </xf>
    <xf numFmtId="0" fontId="67" fillId="0" borderId="7" xfId="0" applyFont="1" applyBorder="1" applyAlignment="1">
      <alignment horizontal="center" wrapText="1"/>
    </xf>
    <xf numFmtId="0" fontId="67" fillId="0" borderId="0" xfId="0" applyFont="1" applyAlignment="1">
      <alignment horizontal="center" wrapText="1"/>
    </xf>
    <xf numFmtId="0" fontId="67" fillId="0" borderId="8" xfId="0" applyFont="1" applyBorder="1" applyAlignment="1">
      <alignment horizontal="center" wrapText="1"/>
    </xf>
    <xf numFmtId="0" fontId="67" fillId="0" borderId="9" xfId="0" applyFont="1" applyBorder="1" applyAlignment="1">
      <alignment horizontal="center" wrapText="1"/>
    </xf>
    <xf numFmtId="0" fontId="67" fillId="0" borderId="11" xfId="0" applyFont="1" applyBorder="1" applyAlignment="1">
      <alignment horizontal="center" wrapText="1"/>
    </xf>
    <xf numFmtId="0" fontId="67"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5" fillId="0" borderId="5" xfId="0" applyFont="1" applyBorder="1" applyAlignment="1">
      <alignment horizontal="center" vertical="center" wrapText="1"/>
    </xf>
    <xf numFmtId="0" fontId="15" fillId="0" borderId="12"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6" fillId="25" borderId="0" xfId="0" applyFont="1" applyFill="1" applyAlignment="1">
      <alignment horizontal="center" vertical="center" wrapText="1" readingOrder="1"/>
    </xf>
    <xf numFmtId="0" fontId="18" fillId="11" borderId="0" xfId="0" applyFont="1" applyFill="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7" xfId="0" applyFont="1" applyFill="1" applyBorder="1" applyAlignment="1" applyProtection="1">
      <alignment horizontal="center" vertical="center" wrapText="1" readingOrder="1"/>
      <protection hidden="1"/>
    </xf>
    <xf numFmtId="0" fontId="15" fillId="0" borderId="7" xfId="0" applyFont="1" applyBorder="1" applyAlignment="1">
      <alignment horizontal="center" vertical="center" wrapText="1"/>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0" borderId="6" xfId="0" applyFont="1" applyBorder="1" applyAlignment="1">
      <alignment horizontal="center" vertical="center"/>
    </xf>
    <xf numFmtId="0" fontId="18" fillId="11" borderId="8"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5" fillId="0" borderId="12" xfId="0" applyFont="1" applyBorder="1" applyAlignment="1">
      <alignment horizontal="center" vertical="center" wrapText="1"/>
    </xf>
    <xf numFmtId="0" fontId="18" fillId="11" borderId="9"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7"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22" fillId="0" borderId="0" xfId="0" applyFont="1" applyAlignment="1">
      <alignment horizontal="center" vertical="center" wrapText="1"/>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61" fillId="0" borderId="0" xfId="0" applyFont="1" applyAlignment="1">
      <alignment horizontal="center"/>
    </xf>
    <xf numFmtId="0" fontId="39" fillId="0" borderId="12" xfId="0" applyFont="1" applyBorder="1" applyAlignment="1">
      <alignment horizontal="center" vertical="center" wrapText="1"/>
    </xf>
    <xf numFmtId="0" fontId="62" fillId="0" borderId="95" xfId="0" applyFont="1" applyBorder="1" applyAlignment="1">
      <alignment horizontal="center" wrapText="1"/>
    </xf>
    <xf numFmtId="0" fontId="66" fillId="0" borderId="86" xfId="0" applyFont="1" applyBorder="1" applyAlignment="1">
      <alignment horizontal="center" wrapText="1"/>
    </xf>
    <xf numFmtId="0" fontId="66" fillId="0" borderId="97" xfId="0" applyFont="1" applyBorder="1" applyAlignment="1">
      <alignment horizontal="center" wrapText="1"/>
    </xf>
    <xf numFmtId="0" fontId="64" fillId="0" borderId="5" xfId="0" applyFont="1" applyBorder="1" applyAlignment="1">
      <alignment horizontal="center" vertical="center" wrapText="1"/>
    </xf>
    <xf numFmtId="0" fontId="64" fillId="0" borderId="7" xfId="0" applyFont="1" applyBorder="1" applyAlignment="1">
      <alignment horizontal="center" vertical="center" wrapText="1"/>
    </xf>
    <xf numFmtId="0" fontId="64" fillId="0" borderId="9" xfId="0" applyFont="1" applyBorder="1" applyAlignment="1">
      <alignment horizontal="center" vertical="center" wrapText="1"/>
    </xf>
    <xf numFmtId="0" fontId="76" fillId="17" borderId="87" xfId="0" applyFont="1" applyFill="1" applyBorder="1" applyAlignment="1">
      <alignment horizontal="center" vertical="center" textRotation="90"/>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165" fontId="65" fillId="0" borderId="23" xfId="0" applyNumberFormat="1" applyFont="1" applyBorder="1" applyAlignment="1">
      <alignment horizontal="center" vertical="center"/>
    </xf>
    <xf numFmtId="165" fontId="65" fillId="0" borderId="35" xfId="0" applyNumberFormat="1" applyFont="1" applyBorder="1" applyAlignment="1">
      <alignment horizontal="center" vertical="center"/>
    </xf>
    <xf numFmtId="0" fontId="65" fillId="0" borderId="81" xfId="0" applyFont="1" applyBorder="1" applyAlignment="1">
      <alignment horizontal="center" vertical="center" wrapText="1"/>
    </xf>
    <xf numFmtId="0" fontId="65" fillId="0" borderId="33" xfId="0" applyFont="1" applyBorder="1" applyAlignment="1">
      <alignment horizontal="center"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75" fillId="0" borderId="0" xfId="0" applyFont="1" applyAlignment="1">
      <alignment horizontal="left" wrapText="1"/>
    </xf>
    <xf numFmtId="0" fontId="73" fillId="0" borderId="7" xfId="0" applyFont="1" applyBorder="1" applyAlignment="1">
      <alignment horizontal="center" vertical="center" wrapText="1"/>
    </xf>
    <xf numFmtId="0" fontId="74" fillId="0" borderId="0" xfId="0" applyFont="1" applyAlignment="1">
      <alignment horizontal="center" vertical="center" wrapText="1"/>
    </xf>
    <xf numFmtId="0" fontId="73" fillId="0" borderId="0" xfId="0" applyFont="1" applyAlignment="1">
      <alignment horizontal="center" vertical="center" wrapText="1"/>
    </xf>
    <xf numFmtId="0" fontId="73" fillId="0" borderId="8" xfId="0" applyFont="1" applyBorder="1" applyAlignment="1">
      <alignment horizontal="center" vertical="center" wrapText="1"/>
    </xf>
    <xf numFmtId="0" fontId="65" fillId="0" borderId="9"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xf>
    <xf numFmtId="0" fontId="66" fillId="0" borderId="23"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71" fillId="0" borderId="0" xfId="0" applyFont="1" applyAlignment="1">
      <alignment horizontal="center" vertical="center"/>
    </xf>
    <xf numFmtId="0" fontId="72" fillId="16" borderId="82" xfId="0" applyFont="1" applyFill="1" applyBorder="1" applyAlignment="1">
      <alignment horizontal="center" vertical="center" wrapText="1"/>
    </xf>
    <xf numFmtId="0" fontId="72" fillId="16" borderId="83" xfId="0" applyFont="1" applyFill="1" applyBorder="1" applyAlignment="1">
      <alignment horizontal="center" vertical="center" wrapText="1"/>
    </xf>
    <xf numFmtId="0" fontId="72" fillId="16" borderId="84" xfId="0" applyFont="1" applyFill="1" applyBorder="1" applyAlignment="1">
      <alignment horizontal="center" vertical="center" wrapText="1"/>
    </xf>
    <xf numFmtId="0" fontId="72" fillId="16" borderId="5"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2" fillId="16" borderId="6" xfId="0" applyFont="1" applyFill="1" applyBorder="1" applyAlignment="1">
      <alignment horizontal="center" vertical="center" wrapText="1"/>
    </xf>
    <xf numFmtId="0" fontId="72" fillId="16" borderId="75" xfId="0" applyFont="1" applyFill="1" applyBorder="1" applyAlignment="1">
      <alignment horizontal="center" vertical="center" wrapText="1"/>
    </xf>
    <xf numFmtId="0" fontId="72" fillId="16" borderId="76"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12" xfId="0" applyFont="1" applyBorder="1" applyAlignment="1">
      <alignment horizontal="center" vertical="center" wrapText="1"/>
    </xf>
    <xf numFmtId="0" fontId="65" fillId="0" borderId="12" xfId="0" applyFont="1" applyBorder="1" applyAlignment="1">
      <alignment horizontal="center"/>
    </xf>
    <xf numFmtId="0" fontId="65" fillId="0" borderId="6" xfId="0" applyFont="1" applyBorder="1" applyAlignment="1">
      <alignment horizontal="center"/>
    </xf>
    <xf numFmtId="0" fontId="70" fillId="16" borderId="32" xfId="0" applyFont="1" applyFill="1" applyBorder="1" applyAlignment="1">
      <alignment horizontal="center" vertical="center" wrapText="1"/>
    </xf>
    <xf numFmtId="0" fontId="70" fillId="16" borderId="33" xfId="0" applyFont="1" applyFill="1" applyBorder="1" applyAlignment="1">
      <alignment horizontal="center" vertical="center" wrapText="1"/>
    </xf>
    <xf numFmtId="0" fontId="70" fillId="16" borderId="80" xfId="0" applyFont="1" applyFill="1" applyBorder="1" applyAlignment="1">
      <alignment horizontal="center" vertical="center" wrapText="1"/>
    </xf>
    <xf numFmtId="0" fontId="70" fillId="16" borderId="81" xfId="0" applyFont="1" applyFill="1" applyBorder="1" applyAlignment="1">
      <alignment horizontal="center" vertical="center" wrapText="1"/>
    </xf>
    <xf numFmtId="0" fontId="70" fillId="16" borderId="24" xfId="0" applyFont="1" applyFill="1" applyBorder="1" applyAlignment="1">
      <alignment horizontal="center" vertical="center" wrapText="1"/>
    </xf>
    <xf numFmtId="0" fontId="70" fillId="16" borderId="35" xfId="0" applyFont="1" applyFill="1" applyBorder="1" applyAlignment="1">
      <alignment horizontal="center" vertical="center" wrapText="1"/>
    </xf>
    <xf numFmtId="0" fontId="67" fillId="0" borderId="69" xfId="0" applyFont="1" applyBorder="1" applyAlignment="1">
      <alignment horizontal="center" wrapText="1"/>
    </xf>
    <xf numFmtId="0" fontId="66" fillId="0" borderId="70" xfId="0" applyFont="1" applyBorder="1" applyAlignment="1">
      <alignment horizontal="center" wrapText="1"/>
    </xf>
    <xf numFmtId="0" fontId="66" fillId="0" borderId="73" xfId="0" applyFont="1" applyBorder="1" applyAlignment="1">
      <alignment horizontal="center" wrapText="1"/>
    </xf>
    <xf numFmtId="0" fontId="69" fillId="0" borderId="5"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0" xfId="0" applyFont="1" applyAlignment="1">
      <alignment horizontal="center" vertical="center" wrapText="1"/>
    </xf>
    <xf numFmtId="0" fontId="69" fillId="0" borderId="9" xfId="0" applyFont="1" applyBorder="1" applyAlignment="1">
      <alignment horizontal="center" vertical="center" wrapText="1"/>
    </xf>
    <xf numFmtId="0" fontId="69" fillId="0" borderId="11"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100" fillId="0" borderId="101" xfId="0" applyFont="1" applyFill="1" applyBorder="1" applyAlignment="1" applyProtection="1">
      <alignment horizontal="center" vertical="center" wrapText="1"/>
      <protection locked="0"/>
    </xf>
    <xf numFmtId="0" fontId="100" fillId="0" borderId="22" xfId="0" applyFont="1" applyFill="1" applyBorder="1" applyAlignment="1" applyProtection="1">
      <alignment horizontal="center" vertical="center" wrapText="1"/>
      <protection locked="0"/>
    </xf>
  </cellXfs>
  <cellStyles count="6">
    <cellStyle name="Hipervínculo" xfId="5"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144">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FFFF00"/>
        </patternFill>
      </fill>
    </dxf>
    <dxf>
      <fill>
        <patternFill>
          <bgColor rgb="FF00B050"/>
        </patternFill>
      </fill>
    </dxf>
    <dxf>
      <fill>
        <patternFill>
          <bgColor rgb="FFFF00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ont>
        <color theme="1"/>
      </font>
      <fill>
        <patternFill>
          <bgColor rgb="FF92D050"/>
        </patternFill>
      </fill>
    </dxf>
    <dxf>
      <font>
        <color auto="1"/>
      </font>
      <fill>
        <patternFill>
          <bgColor rgb="FFFFFF00"/>
        </patternFill>
      </fill>
    </dxf>
    <dxf>
      <fill>
        <patternFill>
          <bgColor rgb="FFFF0000"/>
        </patternFill>
      </fill>
    </dxf>
    <dxf>
      <fill>
        <patternFill>
          <bgColor rgb="FFFFFF66"/>
        </patternFill>
      </fill>
    </dxf>
    <dxf>
      <fill>
        <patternFill>
          <bgColor rgb="FF00B050"/>
        </patternFill>
      </fill>
    </dxf>
    <dxf>
      <fill>
        <patternFill>
          <bgColor rgb="FFFFC000"/>
        </patternFill>
      </fill>
    </dxf>
    <dxf>
      <font>
        <color auto="1"/>
      </font>
      <fill>
        <patternFill>
          <bgColor rgb="FF92D05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FF0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ont>
        <color auto="1"/>
      </font>
      <fill>
        <patternFill>
          <bgColor rgb="FF92D050"/>
        </patternFill>
      </fill>
    </dxf>
    <dxf>
      <fill>
        <patternFill>
          <bgColor rgb="FFFFFF66"/>
        </patternFill>
      </fill>
    </dxf>
    <dxf>
      <fill>
        <patternFill>
          <bgColor rgb="FF00B050"/>
        </patternFill>
      </fill>
    </dxf>
    <dxf>
      <fill>
        <patternFill>
          <bgColor rgb="FFFFC00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287840"/>
      <color rgb="FF00CC66"/>
      <color rgb="FFB4B3B6"/>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Mapa final'!A1"/><Relationship Id="rId7" Type="http://schemas.openxmlformats.org/officeDocument/2006/relationships/image" Target="../media/image2.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1.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 '!A1"/></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642811" y="1816267"/>
          <a:ext cx="8417093" cy="3995988"/>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239713</xdr:colOff>
      <xdr:row>4</xdr:row>
      <xdr:rowOff>6908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330200</xdr:colOff>
      <xdr:row>6</xdr:row>
      <xdr:rowOff>168275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0500"/>
          <a:ext cx="676275" cy="771525"/>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9</xdr:row>
      <xdr:rowOff>287110</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5</xdr:col>
      <xdr:colOff>1145977</xdr:colOff>
      <xdr:row>3</xdr:row>
      <xdr:rowOff>286860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4</xdr:col>
      <xdr:colOff>27310</xdr:colOff>
      <xdr:row>14</xdr:row>
      <xdr:rowOff>1375201</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4CC379AC-4E21-4309-A80C-609C18FBAF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2126796"/>
          <a:ext cx="1056010" cy="1658230"/>
        </a:xfrm>
        <a:prstGeom prst="rect">
          <a:avLst/>
        </a:prstGeom>
      </xdr:spPr>
    </xdr:pic>
    <xdr:clientData/>
  </xdr:twoCellAnchor>
  <xdr:twoCellAnchor editAs="oneCell">
    <xdr:from>
      <xdr:col>5</xdr:col>
      <xdr:colOff>819150</xdr:colOff>
      <xdr:row>1</xdr:row>
      <xdr:rowOff>76200</xdr:rowOff>
    </xdr:from>
    <xdr:to>
      <xdr:col>6</xdr:col>
      <xdr:colOff>211931</xdr:colOff>
      <xdr:row>3</xdr:row>
      <xdr:rowOff>157460</xdr:rowOff>
    </xdr:to>
    <xdr:pic>
      <xdr:nvPicPr>
        <xdr:cNvPr id="9" name="Imagen 4">
          <a:extLst>
            <a:ext uri="{FF2B5EF4-FFF2-40B4-BE49-F238E27FC236}">
              <a16:creationId xmlns:a16="http://schemas.microsoft.com/office/drawing/2014/main" id="{9ADE2C36-014F-417F-A3D4-6CDABADB3AD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248025" y="266700"/>
          <a:ext cx="773906" cy="786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62593</xdr:colOff>
      <xdr:row>0</xdr:row>
      <xdr:rowOff>0</xdr:rowOff>
    </xdr:from>
    <xdr:to>
      <xdr:col>3</xdr:col>
      <xdr:colOff>89903</xdr:colOff>
      <xdr:row>9</xdr:row>
      <xdr:rowOff>17129</xdr:rowOff>
    </xdr:to>
    <xdr:pic>
      <xdr:nvPicPr>
        <xdr:cNvPr id="2" name="Gráfico 1" descr="Escena suburbana">
          <a:hlinkClick xmlns:r="http://schemas.openxmlformats.org/officeDocument/2006/relationships" r:id="rId1"/>
          <a:extLst>
            <a:ext uri="{FF2B5EF4-FFF2-40B4-BE49-F238E27FC236}">
              <a16:creationId xmlns:a16="http://schemas.microsoft.com/office/drawing/2014/main" id="{E9F48054-A76E-44BB-A8B4-53BE10BE50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2126796"/>
          <a:ext cx="903610" cy="951139"/>
        </a:xfrm>
        <a:prstGeom prst="rect">
          <a:avLst/>
        </a:prstGeom>
      </xdr:spPr>
    </xdr:pic>
    <xdr:clientData/>
  </xdr:twoCellAnchor>
  <xdr:twoCellAnchor editAs="oneCell">
    <xdr:from>
      <xdr:col>5</xdr:col>
      <xdr:colOff>504265</xdr:colOff>
      <xdr:row>0</xdr:row>
      <xdr:rowOff>0</xdr:rowOff>
    </xdr:from>
    <xdr:to>
      <xdr:col>6</xdr:col>
      <xdr:colOff>154081</xdr:colOff>
      <xdr:row>4</xdr:row>
      <xdr:rowOff>51034</xdr:rowOff>
    </xdr:to>
    <xdr:pic>
      <xdr:nvPicPr>
        <xdr:cNvPr id="3" name="Imagen 4">
          <a:extLst>
            <a:ext uri="{FF2B5EF4-FFF2-40B4-BE49-F238E27FC236}">
              <a16:creationId xmlns:a16="http://schemas.microsoft.com/office/drawing/2014/main" id="{D03824FB-8FE8-4D70-AC3F-3BF22ECCBCA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235699" y="0"/>
          <a:ext cx="1036544" cy="1297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94320</xdr:colOff>
      <xdr:row>15</xdr:row>
      <xdr:rowOff>412383</xdr:rowOff>
    </xdr:to>
    <xdr:pic>
      <xdr:nvPicPr>
        <xdr:cNvPr id="4" name="Gráfico 3" descr="Escena suburbana">
          <a:hlinkClick xmlns:r="http://schemas.openxmlformats.org/officeDocument/2006/relationships" r:id="rId1"/>
          <a:extLst>
            <a:ext uri="{FF2B5EF4-FFF2-40B4-BE49-F238E27FC236}">
              <a16:creationId xmlns:a16="http://schemas.microsoft.com/office/drawing/2014/main" id="{22DF066B-F2C2-429B-A35D-C5AE2530C0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2126796"/>
          <a:ext cx="1056010" cy="1658230"/>
        </a:xfrm>
        <a:prstGeom prst="rect">
          <a:avLst/>
        </a:prstGeom>
      </xdr:spPr>
    </xdr:pic>
    <xdr:clientData/>
  </xdr:twoCellAnchor>
  <xdr:twoCellAnchor editAs="oneCell">
    <xdr:from>
      <xdr:col>5</xdr:col>
      <xdr:colOff>675768</xdr:colOff>
      <xdr:row>1</xdr:row>
      <xdr:rowOff>12892</xdr:rowOff>
    </xdr:from>
    <xdr:to>
      <xdr:col>6</xdr:col>
      <xdr:colOff>179457</xdr:colOff>
      <xdr:row>3</xdr:row>
      <xdr:rowOff>287273</xdr:rowOff>
    </xdr:to>
    <xdr:pic>
      <xdr:nvPicPr>
        <xdr:cNvPr id="5" name="Imagen 4">
          <a:extLst>
            <a:ext uri="{FF2B5EF4-FFF2-40B4-BE49-F238E27FC236}">
              <a16:creationId xmlns:a16="http://schemas.microsoft.com/office/drawing/2014/main" id="{C1C89D73-D87F-4FB0-B64A-D3483E5463B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091529" y="206153"/>
          <a:ext cx="884124" cy="992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62593</xdr:colOff>
      <xdr:row>7</xdr:row>
      <xdr:rowOff>21771</xdr:rowOff>
    </xdr:from>
    <xdr:to>
      <xdr:col>3</xdr:col>
      <xdr:colOff>89903</xdr:colOff>
      <xdr:row>15</xdr:row>
      <xdr:rowOff>420320</xdr:rowOff>
    </xdr:to>
    <xdr:pic>
      <xdr:nvPicPr>
        <xdr:cNvPr id="2" name="Gráfico 1" descr="Escena suburbana">
          <a:hlinkClick xmlns:r="http://schemas.openxmlformats.org/officeDocument/2006/relationships" r:id="rId1"/>
          <a:extLst>
            <a:ext uri="{FF2B5EF4-FFF2-40B4-BE49-F238E27FC236}">
              <a16:creationId xmlns:a16="http://schemas.microsoft.com/office/drawing/2014/main" id="{3D5B12ED-FE33-4A75-B6C9-96517009B1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2126796"/>
          <a:ext cx="1056010" cy="5496805"/>
        </a:xfrm>
        <a:prstGeom prst="rect">
          <a:avLst/>
        </a:prstGeom>
      </xdr:spPr>
    </xdr:pic>
    <xdr:clientData/>
  </xdr:twoCellAnchor>
  <xdr:twoCellAnchor editAs="oneCell">
    <xdr:from>
      <xdr:col>5</xdr:col>
      <xdr:colOff>819150</xdr:colOff>
      <xdr:row>1</xdr:row>
      <xdr:rowOff>76200</xdr:rowOff>
    </xdr:from>
    <xdr:to>
      <xdr:col>6</xdr:col>
      <xdr:colOff>211931</xdr:colOff>
      <xdr:row>3</xdr:row>
      <xdr:rowOff>157460</xdr:rowOff>
    </xdr:to>
    <xdr:pic>
      <xdr:nvPicPr>
        <xdr:cNvPr id="3" name="Imagen 4">
          <a:extLst>
            <a:ext uri="{FF2B5EF4-FFF2-40B4-BE49-F238E27FC236}">
              <a16:creationId xmlns:a16="http://schemas.microsoft.com/office/drawing/2014/main" id="{30662B6B-AC0B-48DF-8996-CF12289E98C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248025" y="266700"/>
          <a:ext cx="773906" cy="786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62593</xdr:colOff>
      <xdr:row>0</xdr:row>
      <xdr:rowOff>0</xdr:rowOff>
    </xdr:from>
    <xdr:to>
      <xdr:col>3</xdr:col>
      <xdr:colOff>89903</xdr:colOff>
      <xdr:row>16</xdr:row>
      <xdr:rowOff>649960</xdr:rowOff>
    </xdr:to>
    <xdr:pic>
      <xdr:nvPicPr>
        <xdr:cNvPr id="2" name="Gráfico 1" descr="Escena suburbana">
          <a:hlinkClick xmlns:r="http://schemas.openxmlformats.org/officeDocument/2006/relationships" r:id="rId1"/>
          <a:extLst>
            <a:ext uri="{FF2B5EF4-FFF2-40B4-BE49-F238E27FC236}">
              <a16:creationId xmlns:a16="http://schemas.microsoft.com/office/drawing/2014/main" id="{2B1C4493-0235-42FE-8C8D-629FC0CCF0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0"/>
          <a:ext cx="1056010" cy="3360404"/>
        </a:xfrm>
        <a:prstGeom prst="rect">
          <a:avLst/>
        </a:prstGeom>
      </xdr:spPr>
    </xdr:pic>
    <xdr:clientData/>
  </xdr:twoCellAnchor>
  <xdr:twoCellAnchor editAs="oneCell">
    <xdr:from>
      <xdr:col>5</xdr:col>
      <xdr:colOff>523315</xdr:colOff>
      <xdr:row>0</xdr:row>
      <xdr:rowOff>76200</xdr:rowOff>
    </xdr:from>
    <xdr:to>
      <xdr:col>6</xdr:col>
      <xdr:colOff>123825</xdr:colOff>
      <xdr:row>3</xdr:row>
      <xdr:rowOff>270109</xdr:rowOff>
    </xdr:to>
    <xdr:pic>
      <xdr:nvPicPr>
        <xdr:cNvPr id="3" name="Imagen 4">
          <a:extLst>
            <a:ext uri="{FF2B5EF4-FFF2-40B4-BE49-F238E27FC236}">
              <a16:creationId xmlns:a16="http://schemas.microsoft.com/office/drawing/2014/main" id="{5ECEAB83-F530-4E91-86C7-846A034336A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266515" y="76200"/>
          <a:ext cx="981635" cy="1089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4</xdr:col>
      <xdr:colOff>27310</xdr:colOff>
      <xdr:row>31</xdr:row>
      <xdr:rowOff>463101</xdr:rowOff>
    </xdr:to>
    <xdr:pic>
      <xdr:nvPicPr>
        <xdr:cNvPr id="4" name="Gráfico 3" descr="Escena suburbana">
          <a:hlinkClick xmlns:r="http://schemas.openxmlformats.org/officeDocument/2006/relationships" r:id="rId1"/>
          <a:extLst>
            <a:ext uri="{FF2B5EF4-FFF2-40B4-BE49-F238E27FC236}">
              <a16:creationId xmlns:a16="http://schemas.microsoft.com/office/drawing/2014/main" id="{9AB8CD4B-28FD-4F82-90D0-B0A64953EC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0" y="2126796"/>
          <a:ext cx="1056010" cy="5496805"/>
        </a:xfrm>
        <a:prstGeom prst="rect">
          <a:avLst/>
        </a:prstGeom>
      </xdr:spPr>
    </xdr:pic>
    <xdr:clientData/>
  </xdr:twoCellAnchor>
  <xdr:twoCellAnchor editAs="oneCell">
    <xdr:from>
      <xdr:col>5</xdr:col>
      <xdr:colOff>856690</xdr:colOff>
      <xdr:row>1</xdr:row>
      <xdr:rowOff>142875</xdr:rowOff>
    </xdr:from>
    <xdr:to>
      <xdr:col>6</xdr:col>
      <xdr:colOff>333375</xdr:colOff>
      <xdr:row>3</xdr:row>
      <xdr:rowOff>152400</xdr:rowOff>
    </xdr:to>
    <xdr:pic>
      <xdr:nvPicPr>
        <xdr:cNvPr id="5" name="Imagen 4">
          <a:extLst>
            <a:ext uri="{FF2B5EF4-FFF2-40B4-BE49-F238E27FC236}">
              <a16:creationId xmlns:a16="http://schemas.microsoft.com/office/drawing/2014/main" id="{ED484C3B-A778-4486-8A3E-69C490B74A0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285565" y="333375"/>
          <a:ext cx="85781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43</xdr:row>
      <xdr:rowOff>0</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463"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threadedComments/threadedComment2.xml><?xml version="1.0" encoding="utf-8"?>
<ThreadedComments xmlns="http://schemas.microsoft.com/office/spreadsheetml/2018/threadedcomments" xmlns:x="http://schemas.openxmlformats.org/spreadsheetml/2006/main">
  <threadedComment ref="F13" dT="2026-05-05T18:23:33.08" personId="{0CC1AFD7-F2B4-4C19-A5FE-A0839748E464}" id="{ADB93C8A-D80F-4A34-A7D9-462BEF894519}">
    <text>Para el riesgo Fiscal, solo aplica IMPACTO ECONÓMICO</text>
  </threadedComment>
  <threadedComment ref="G13" dT="2026-05-05T16:05:30.86" personId="{0CC1AFD7-F2B4-4C19-A5FE-A0839748E464}" id="{79ACF03E-3B68-45BD-95C8-15DF7E41F74C}">
    <text>Aplica para Riesgo FISCAL</text>
  </threadedComment>
  <threadedComment ref="AU13" dT="2026-05-04T15:28:03.86" personId="{0CC1AFD7-F2B4-4C19-A5FE-A0839748E464}" id="{55BE3DF5-82DB-4FB6-ABFF-279924D6B2FF}">
    <text xml:space="preserve">Se realiza una descripción breve de lo ejecutado en el periodo. Así como las desviaciones presentadas en la aplicación del control. </text>
  </threadedComment>
  <threadedComment ref="AV13" dT="2026-05-04T15:29:01.83" personId="{0CC1AFD7-F2B4-4C19-A5FE-A0839748E464}" id="{3538BEB8-0EFB-4EBB-A478-EEC1DE45C351}">
    <text>Se debe describir los soportes de la ejecución del control y punto de uso de la información. Ejemplo (enlaces de carpetas)</text>
  </threadedComment>
  <threadedComment ref="AW13" dT="2026-05-04T15:28:03.86" personId="{0CC1AFD7-F2B4-4C19-A5FE-A0839748E464}" id="{57EFE182-57A8-491B-862A-874250BF6691}">
    <text>Se realiza una descripción breve de lo ejecutado en el periodo</text>
  </threadedComment>
  <threadedComment ref="AX13" dT="2026-05-04T15:29:01.83" personId="{0CC1AFD7-F2B4-4C19-A5FE-A0839748E464}" id="{93EC1DD4-9EB0-46A7-965D-EF6FFFB69475}">
    <text>Se debe describir los soportes de la ejecución del control y punto de uso de la información. Ejemplo (enlaces de carpetas)</text>
  </threadedComment>
</ThreadedComments>
</file>

<file path=xl/threadedComments/threadedComment3.xml><?xml version="1.0" encoding="utf-8"?>
<ThreadedComments xmlns="http://schemas.microsoft.com/office/spreadsheetml/2018/threadedcomments" xmlns:x="http://schemas.openxmlformats.org/spreadsheetml/2006/main">
  <threadedComment ref="F13" dT="2026-05-05T18:23:33.08" personId="{0CC1AFD7-F2B4-4C19-A5FE-A0839748E464}" id="{47A1EA3F-9C82-4F01-99F9-E16F5BF3DC40}">
    <text>Para el riesgo Fiscal, solo aplica IMPACTO ECONÓMICO</text>
  </threadedComment>
  <threadedComment ref="G13" dT="2026-05-05T16:05:30.86" personId="{0CC1AFD7-F2B4-4C19-A5FE-A0839748E464}" id="{CFB41C99-5E89-41B0-9137-B3871F5DBB6C}">
    <text>Aplica para Riesgo FISCAL</text>
  </threadedComment>
  <threadedComment ref="AU13" dT="2026-05-04T15:28:03.86" personId="{0CC1AFD7-F2B4-4C19-A5FE-A0839748E464}" id="{5C4B5520-4674-4593-AA2B-9B27F58B418E}">
    <text xml:space="preserve">Se realiza una descripción breve de lo ejecutado en el periodo. Así como las desviaciones presentadas en la aplicación del control. </text>
  </threadedComment>
  <threadedComment ref="AV13" dT="2026-05-04T15:29:01.83" personId="{0CC1AFD7-F2B4-4C19-A5FE-A0839748E464}" id="{13CAD0A0-CB49-4259-BCFC-CFEB26015FA1}">
    <text>Se debe describir los soportes de la ejecución del control y punto de uso de la información. Ejemplo (enlaces de carpetas)</text>
  </threadedComment>
  <threadedComment ref="AW13" dT="2026-05-04T15:28:03.86" personId="{0CC1AFD7-F2B4-4C19-A5FE-A0839748E464}" id="{E11B4709-20D4-4853-B7EE-0157638BF3C6}">
    <text>Se realiza una descripción breve de lo ejecutado en el periodo</text>
  </threadedComment>
  <threadedComment ref="AX13" dT="2026-05-04T15:29:01.83" personId="{0CC1AFD7-F2B4-4C19-A5FE-A0839748E464}" id="{C66CC4A5-C5B7-4974-B276-709F519578B4}">
    <text>Se debe describir los soportes de la ejecución del control y punto de uso de la información. Ejemplo (enlaces de carpetas)</text>
  </threadedComment>
</ThreadedComments>
</file>

<file path=xl/threadedComments/threadedComment4.xml><?xml version="1.0" encoding="utf-8"?>
<ThreadedComments xmlns="http://schemas.microsoft.com/office/spreadsheetml/2018/threadedcomments" xmlns:x="http://schemas.openxmlformats.org/spreadsheetml/2006/main">
  <threadedComment ref="F13" dT="2026-05-05T18:23:33.08" personId="{0CC1AFD7-F2B4-4C19-A5FE-A0839748E464}" id="{1547104E-3A90-4704-B4AC-F1A549047CFF}">
    <text>Para el riesgo Fiscal, solo aplica IMPACTO ECONÓMICO</text>
  </threadedComment>
  <threadedComment ref="G13" dT="2026-05-05T16:05:30.86" personId="{0CC1AFD7-F2B4-4C19-A5FE-A0839748E464}" id="{578529C3-8AD4-4E75-B247-A75972AB9A58}">
    <text>Aplica para Riesgo FISCAL</text>
  </threadedComment>
  <threadedComment ref="AU13" dT="2026-05-04T15:28:03.86" personId="{0CC1AFD7-F2B4-4C19-A5FE-A0839748E464}" id="{B0B1D573-7895-4ECF-A7B9-7237F769A578}">
    <text xml:space="preserve">Se realiza una descripción breve de lo ejecutado en el periodo. Así como las desviaciones presentadas en la aplicación del control. </text>
  </threadedComment>
  <threadedComment ref="AV13" dT="2026-05-04T15:29:01.83" personId="{0CC1AFD7-F2B4-4C19-A5FE-A0839748E464}" id="{AE41C419-AB85-41EE-BEB1-F29BBDCB79CE}">
    <text>Se debe describir los soportes de la ejecución del control y punto de uso de la información. Ejemplo (enlaces de carpetas)</text>
  </threadedComment>
  <threadedComment ref="AW13" dT="2026-05-04T15:28:03.86" personId="{0CC1AFD7-F2B4-4C19-A5FE-A0839748E464}" id="{3FE0793F-7C1F-43E6-B77E-81BB9E844C73}">
    <text>Se realiza una descripción breve de lo ejecutado en el periodo</text>
  </threadedComment>
  <threadedComment ref="AX13" dT="2026-05-04T15:29:01.83" personId="{0CC1AFD7-F2B4-4C19-A5FE-A0839748E464}" id="{4713EAB7-5917-43C4-835E-678A7CDC5E3A}">
    <text>Se debe describir los soportes de la ejecución del control y punto de uso de la información. Ejemplo (enlaces de carpetas)</text>
  </threadedComment>
</ThreadedComments>
</file>

<file path=xl/threadedComments/threadedComment5.xml><?xml version="1.0" encoding="utf-8"?>
<ThreadedComments xmlns="http://schemas.microsoft.com/office/spreadsheetml/2018/threadedcomments" xmlns:x="http://schemas.openxmlformats.org/spreadsheetml/2006/main">
  <threadedComment ref="F13" dT="2026-05-05T18:23:33.08" personId="{0CC1AFD7-F2B4-4C19-A5FE-A0839748E464}" id="{969FED0A-6C97-471D-AE27-C4F061167EB1}">
    <text>Para el riesgo Fiscal, solo aplica IMPACTO ECONÓMICO</text>
  </threadedComment>
  <threadedComment ref="G13" dT="2026-05-05T16:05:30.86" personId="{0CC1AFD7-F2B4-4C19-A5FE-A0839748E464}" id="{B654C4BD-DC5D-42F5-88A7-2FB6CB0DAD9C}">
    <text>Aplica para Riesgo FISCAL</text>
  </threadedComment>
  <threadedComment ref="AU13" dT="2026-05-04T15:28:03.86" personId="{0CC1AFD7-F2B4-4C19-A5FE-A0839748E464}" id="{B739ECE6-6380-41A8-8549-05911EC1D351}">
    <text xml:space="preserve">Se realiza una descripción breve de lo ejecutado en el periodo. Así como las desviaciones presentadas en la aplicación del control. </text>
  </threadedComment>
  <threadedComment ref="AV13" dT="2026-05-04T15:29:01.83" personId="{0CC1AFD7-F2B4-4C19-A5FE-A0839748E464}" id="{97B712C8-8672-4965-8CCD-19E88D5D3681}">
    <text>Se debe describir los soportes de la ejecución del control y punto de uso de la información. Ejemplo (enlaces de carpetas)</text>
  </threadedComment>
  <threadedComment ref="AW13" dT="2026-05-04T15:28:03.86" personId="{0CC1AFD7-F2B4-4C19-A5FE-A0839748E464}" id="{91B83A28-7E39-4E01-808D-99DF85FFF844}">
    <text>Se realiza una descripción breve de lo ejecutado en el periodo</text>
  </threadedComment>
  <threadedComment ref="AX13" dT="2026-05-04T15:29:01.83" personId="{0CC1AFD7-F2B4-4C19-A5FE-A0839748E464}" id="{353D7B8F-759E-41AD-81CE-595DD3E31DC4}">
    <text>Se debe describir los soportes de la ejecución del control y punto de uso de la información. Ejemplo (enlaces de carpetas)</text>
  </threadedComment>
</ThreadedComments>
</file>

<file path=xl/threadedComments/threadedComment6.xml><?xml version="1.0" encoding="utf-8"?>
<ThreadedComments xmlns="http://schemas.microsoft.com/office/spreadsheetml/2018/threadedcomments" xmlns:x="http://schemas.openxmlformats.org/spreadsheetml/2006/main">
  <threadedComment ref="F13" dT="2026-05-05T18:23:33.08" personId="{0CC1AFD7-F2B4-4C19-A5FE-A0839748E464}" id="{8A0E88F9-ACE7-4194-933B-A8D30B2ADFF1}">
    <text>Para el riesgo Fiscal, solo aplica IMPACTO ECONÓMICO</text>
  </threadedComment>
  <threadedComment ref="G13" dT="2026-05-05T16:05:30.86" personId="{0CC1AFD7-F2B4-4C19-A5FE-A0839748E464}" id="{FF7ABB86-8857-468A-90A4-E2CC49A4DDB1}">
    <text>Aplica para Riesgo FISCAL</text>
  </threadedComment>
  <threadedComment ref="AU13" dT="2026-05-04T15:28:03.86" personId="{0CC1AFD7-F2B4-4C19-A5FE-A0839748E464}" id="{CCA89ED2-3ED1-4DF6-9923-BD02A38084C0}">
    <text xml:space="preserve">Se realiza una descripción breve de lo ejecutado en el periodo. Así como las desviaciones presentadas en la aplicación del control. </text>
  </threadedComment>
  <threadedComment ref="AV13" dT="2026-05-04T15:29:01.83" personId="{0CC1AFD7-F2B4-4C19-A5FE-A0839748E464}" id="{9AD3F53F-7FC9-4727-9D6E-0768CE13B6C9}">
    <text>Se debe describir los soportes de la ejecución del control y punto de uso de la información. Ejemplo (enlaces de carpetas)</text>
  </threadedComment>
  <threadedComment ref="AW13" dT="2026-05-04T15:28:03.86" personId="{0CC1AFD7-F2B4-4C19-A5FE-A0839748E464}" id="{D9CBC33E-C1FE-4573-A0A3-B53E51E3D126}">
    <text>Se realiza una descripción breve de lo ejecutado en el periodo</text>
  </threadedComment>
  <threadedComment ref="AX13" dT="2026-05-04T15:29:01.83" personId="{0CC1AFD7-F2B4-4C19-A5FE-A0839748E464}" id="{725D33A5-AE89-4054-9F80-C969D1FA0329}">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 Id="rId4" Type="http://schemas.microsoft.com/office/2017/10/relationships/threadedComment" Target="../threadedComments/threadedComment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 Id="rId4" Type="http://schemas.microsoft.com/office/2017/10/relationships/threadedComment" Target="../threadedComments/threadedComment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 Id="rId4" Type="http://schemas.microsoft.com/office/2017/10/relationships/threadedComment" Target="../threadedComments/threadedComment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zoomScale="95" zoomScaleNormal="95" workbookViewId="0"/>
  </sheetViews>
  <sheetFormatPr defaultColWidth="11.42578125" defaultRowHeight="15"/>
  <cols>
    <col min="1" max="1" width="3.7109375" style="68" customWidth="1"/>
    <col min="2" max="2" width="16.7109375" customWidth="1"/>
    <col min="3" max="3" width="25" customWidth="1"/>
    <col min="4" max="12" width="10.7109375" customWidth="1"/>
    <col min="13" max="13" width="13.28515625" customWidth="1"/>
    <col min="14" max="14" width="15.42578125" customWidth="1"/>
    <col min="15" max="16384" width="11.42578125" style="68"/>
  </cols>
  <sheetData>
    <row r="1" spans="2:14" ht="12.75" customHeight="1" thickBot="1">
      <c r="B1" s="68"/>
      <c r="C1" s="68"/>
      <c r="D1" s="68"/>
      <c r="E1" s="68"/>
      <c r="F1" s="68"/>
      <c r="G1" s="68"/>
      <c r="H1" s="68"/>
      <c r="I1" s="68"/>
      <c r="J1" s="68"/>
      <c r="K1" s="68"/>
      <c r="L1" s="68"/>
      <c r="M1" s="68"/>
      <c r="N1" s="68"/>
    </row>
    <row r="2" spans="2:14" ht="18.75" customHeight="1">
      <c r="B2" s="397" t="s">
        <v>0</v>
      </c>
      <c r="C2" s="398"/>
      <c r="D2" s="388" t="s">
        <v>1</v>
      </c>
      <c r="E2" s="389"/>
      <c r="F2" s="389"/>
      <c r="G2" s="389"/>
      <c r="H2" s="389"/>
      <c r="I2" s="389"/>
      <c r="J2" s="389"/>
      <c r="K2" s="389"/>
      <c r="L2" s="390"/>
      <c r="M2" s="403" t="s">
        <v>2</v>
      </c>
      <c r="N2" s="404"/>
    </row>
    <row r="3" spans="2:14" ht="15.75" customHeight="1">
      <c r="B3" s="399"/>
      <c r="C3" s="400"/>
      <c r="D3" s="391"/>
      <c r="E3" s="392"/>
      <c r="F3" s="392"/>
      <c r="G3" s="392"/>
      <c r="H3" s="392"/>
      <c r="I3" s="392"/>
      <c r="J3" s="392"/>
      <c r="K3" s="392"/>
      <c r="L3" s="393"/>
      <c r="M3" s="405" t="s">
        <v>3</v>
      </c>
      <c r="N3" s="406"/>
    </row>
    <row r="4" spans="2:14" ht="18.75" customHeight="1">
      <c r="B4" s="399"/>
      <c r="C4" s="400"/>
      <c r="D4" s="391"/>
      <c r="E4" s="392"/>
      <c r="F4" s="392"/>
      <c r="G4" s="392"/>
      <c r="H4" s="392"/>
      <c r="I4" s="392"/>
      <c r="J4" s="392"/>
      <c r="K4" s="392"/>
      <c r="L4" s="393"/>
      <c r="M4" s="405" t="s">
        <v>4</v>
      </c>
      <c r="N4" s="406"/>
    </row>
    <row r="5" spans="2:14" ht="29.25" customHeight="1" thickBot="1">
      <c r="B5" s="401"/>
      <c r="C5" s="402"/>
      <c r="D5" s="394"/>
      <c r="E5" s="395"/>
      <c r="F5" s="395"/>
      <c r="G5" s="395"/>
      <c r="H5" s="395"/>
      <c r="I5" s="395"/>
      <c r="J5" s="395"/>
      <c r="K5" s="395"/>
      <c r="L5" s="396"/>
      <c r="M5" s="407" t="s">
        <v>5</v>
      </c>
      <c r="N5" s="408"/>
    </row>
    <row r="6" spans="2:14" ht="7.5" customHeight="1" thickBot="1"/>
    <row r="7" spans="2:14">
      <c r="B7" s="126"/>
      <c r="C7" s="127"/>
      <c r="D7" s="127"/>
      <c r="E7" s="127"/>
      <c r="F7" s="127"/>
      <c r="G7" s="127"/>
      <c r="H7" s="127"/>
      <c r="I7" s="127"/>
      <c r="J7" s="127"/>
      <c r="K7" s="127"/>
      <c r="L7" s="127"/>
      <c r="M7" s="127"/>
      <c r="N7" s="128"/>
    </row>
    <row r="8" spans="2:14">
      <c r="B8" s="129"/>
      <c r="N8" s="130"/>
    </row>
    <row r="9" spans="2:14">
      <c r="B9" s="129"/>
      <c r="N9" s="130"/>
    </row>
    <row r="10" spans="2:14">
      <c r="B10" s="129"/>
      <c r="N10" s="130"/>
    </row>
    <row r="11" spans="2:14">
      <c r="B11" s="129"/>
      <c r="N11" s="130"/>
    </row>
    <row r="12" spans="2:14">
      <c r="B12" s="129"/>
      <c r="N12" s="130"/>
    </row>
    <row r="13" spans="2:14">
      <c r="B13" s="129"/>
      <c r="N13" s="130"/>
    </row>
    <row r="14" spans="2:14">
      <c r="B14" s="129"/>
      <c r="N14" s="130"/>
    </row>
    <row r="15" spans="2:14">
      <c r="B15" s="129"/>
      <c r="N15" s="130"/>
    </row>
    <row r="16" spans="2:14" ht="21" customHeight="1">
      <c r="B16" s="129"/>
      <c r="N16" s="130"/>
    </row>
    <row r="17" spans="2:14" ht="18.75" customHeight="1">
      <c r="B17" s="129"/>
      <c r="N17" s="130"/>
    </row>
    <row r="18" spans="2:14" ht="17.25" customHeight="1">
      <c r="B18" s="129"/>
      <c r="N18" s="130"/>
    </row>
    <row r="19" spans="2:14" ht="18.75" customHeight="1">
      <c r="B19" s="129"/>
      <c r="N19" s="130"/>
    </row>
    <row r="20" spans="2:14" ht="21" customHeight="1">
      <c r="B20" s="129"/>
      <c r="N20" s="130"/>
    </row>
    <row r="21" spans="2:14">
      <c r="B21" s="129"/>
      <c r="N21" s="130"/>
    </row>
    <row r="22" spans="2:14">
      <c r="B22" s="129"/>
      <c r="N22" s="130"/>
    </row>
    <row r="23" spans="2:14">
      <c r="B23" s="129"/>
      <c r="N23" s="130"/>
    </row>
    <row r="24" spans="2:14">
      <c r="B24" s="129"/>
      <c r="N24" s="130"/>
    </row>
    <row r="25" spans="2:14">
      <c r="B25" s="129"/>
      <c r="N25" s="130"/>
    </row>
    <row r="26" spans="2:14">
      <c r="B26" s="129"/>
      <c r="N26" s="130"/>
    </row>
    <row r="27" spans="2:14">
      <c r="B27" s="129"/>
      <c r="N27" s="130"/>
    </row>
    <row r="28" spans="2:14">
      <c r="B28" s="129"/>
      <c r="N28" s="130"/>
    </row>
    <row r="29" spans="2:14">
      <c r="B29" s="129"/>
      <c r="N29" s="130"/>
    </row>
    <row r="30" spans="2:14">
      <c r="B30" s="129"/>
      <c r="N30" s="130"/>
    </row>
    <row r="31" spans="2:14">
      <c r="B31" s="129"/>
      <c r="D31" s="387" t="s">
        <v>6</v>
      </c>
      <c r="E31" s="387"/>
      <c r="N31" s="130"/>
    </row>
    <row r="32" spans="2:14">
      <c r="B32" s="129"/>
      <c r="D32" s="387"/>
      <c r="E32" s="387"/>
      <c r="N32" s="130"/>
    </row>
    <row r="33" spans="2:14">
      <c r="B33" s="129"/>
      <c r="N33" s="130"/>
    </row>
    <row r="34" spans="2:14">
      <c r="B34" s="129"/>
      <c r="N34" s="130"/>
    </row>
    <row r="35" spans="2:14">
      <c r="B35" s="129"/>
      <c r="N35" s="130"/>
    </row>
    <row r="36" spans="2:14">
      <c r="B36" s="129"/>
      <c r="N36" s="130"/>
    </row>
    <row r="37" spans="2:14">
      <c r="B37" s="129"/>
      <c r="N37" s="130"/>
    </row>
    <row r="38" spans="2:14" ht="15.75" thickBot="1">
      <c r="B38" s="131"/>
      <c r="C38" s="132"/>
      <c r="D38" s="132"/>
      <c r="E38" s="132"/>
      <c r="F38" s="132"/>
      <c r="G38" s="132"/>
      <c r="H38" s="132"/>
      <c r="I38" s="132"/>
      <c r="J38" s="132"/>
      <c r="K38" s="132"/>
      <c r="L38" s="132"/>
      <c r="M38" s="132"/>
      <c r="N38" s="133"/>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topLeftCell="A6" workbookViewId="0">
      <selection activeCell="G29" sqref="G29"/>
    </sheetView>
  </sheetViews>
  <sheetFormatPr defaultColWidth="11.42578125" defaultRowHeight="15"/>
  <cols>
    <col min="1" max="1" width="17.42578125" customWidth="1"/>
    <col min="2" max="2" width="9.7109375" customWidth="1"/>
    <col min="4" max="4" width="72.28515625" customWidth="1"/>
    <col min="5" max="6" width="11" customWidth="1"/>
    <col min="7" max="7" width="11.42578125" style="138"/>
    <col min="8" max="8" width="11.42578125" style="15"/>
  </cols>
  <sheetData>
    <row r="1" spans="1:8" ht="15.75" thickBot="1"/>
    <row r="2" spans="1:8" ht="19.5" customHeight="1">
      <c r="B2" s="397" t="s">
        <v>0</v>
      </c>
      <c r="C2" s="398"/>
      <c r="D2" s="453" t="s">
        <v>286</v>
      </c>
      <c r="E2" s="469" t="s">
        <v>9</v>
      </c>
      <c r="F2" s="404"/>
    </row>
    <row r="3" spans="1:8" ht="19.5" customHeight="1">
      <c r="B3" s="399"/>
      <c r="C3" s="400"/>
      <c r="D3" s="454"/>
      <c r="E3" s="470" t="s">
        <v>3</v>
      </c>
      <c r="F3" s="406"/>
    </row>
    <row r="4" spans="1:8" ht="19.5" customHeight="1">
      <c r="B4" s="399"/>
      <c r="C4" s="400"/>
      <c r="D4" s="454"/>
      <c r="E4" s="470" t="s">
        <v>4</v>
      </c>
      <c r="F4" s="406"/>
    </row>
    <row r="5" spans="1:8" ht="19.5" customHeight="1" thickBot="1">
      <c r="A5" t="s">
        <v>15</v>
      </c>
      <c r="B5" s="401"/>
      <c r="C5" s="402"/>
      <c r="D5" s="455"/>
      <c r="E5" s="471" t="s">
        <v>5</v>
      </c>
      <c r="F5" s="408"/>
    </row>
    <row r="6" spans="1:8" ht="15.75" thickBot="1"/>
    <row r="7" spans="1:8">
      <c r="B7" s="456" t="s">
        <v>287</v>
      </c>
      <c r="C7" s="459" t="s">
        <v>288</v>
      </c>
      <c r="D7" s="460"/>
      <c r="E7" s="465" t="s">
        <v>289</v>
      </c>
      <c r="F7" s="466"/>
    </row>
    <row r="8" spans="1:8" ht="15.75" thickBot="1">
      <c r="B8" s="457"/>
      <c r="C8" s="461"/>
      <c r="D8" s="462"/>
      <c r="E8" s="467"/>
      <c r="F8" s="468"/>
      <c r="H8" s="148"/>
    </row>
    <row r="9" spans="1:8" ht="15.75" thickBot="1">
      <c r="B9" s="458"/>
      <c r="C9" s="463" t="s">
        <v>290</v>
      </c>
      <c r="D9" s="464"/>
      <c r="E9" s="145" t="s">
        <v>113</v>
      </c>
      <c r="F9" s="145" t="s">
        <v>236</v>
      </c>
      <c r="H9" s="148"/>
    </row>
    <row r="10" spans="1:8" ht="15.75" thickBot="1">
      <c r="B10" s="144">
        <v>1</v>
      </c>
      <c r="C10" s="451" t="s">
        <v>291</v>
      </c>
      <c r="D10" s="452"/>
      <c r="E10" s="140" t="s">
        <v>292</v>
      </c>
      <c r="F10" s="141"/>
      <c r="H10" s="148"/>
    </row>
    <row r="11" spans="1:8" ht="15.75" thickBot="1">
      <c r="B11" s="144">
        <v>2</v>
      </c>
      <c r="C11" s="451" t="s">
        <v>293</v>
      </c>
      <c r="D11" s="452" t="s">
        <v>293</v>
      </c>
      <c r="E11" s="140" t="s">
        <v>292</v>
      </c>
      <c r="F11" s="141"/>
      <c r="H11" s="149"/>
    </row>
    <row r="12" spans="1:8" ht="15.75" thickBot="1">
      <c r="B12" s="144">
        <v>3</v>
      </c>
      <c r="C12" s="451" t="s">
        <v>294</v>
      </c>
      <c r="D12" s="452" t="s">
        <v>294</v>
      </c>
      <c r="E12" s="140" t="s">
        <v>292</v>
      </c>
      <c r="F12" s="141"/>
    </row>
    <row r="13" spans="1:8" ht="15.75" thickBot="1">
      <c r="B13" s="144">
        <v>4</v>
      </c>
      <c r="C13" s="451" t="s">
        <v>295</v>
      </c>
      <c r="D13" s="452" t="s">
        <v>296</v>
      </c>
      <c r="E13" s="140" t="s">
        <v>292</v>
      </c>
      <c r="F13" s="141"/>
    </row>
    <row r="14" spans="1:8" ht="15.75" thickBot="1">
      <c r="B14" s="144">
        <v>5</v>
      </c>
      <c r="C14" s="451" t="s">
        <v>297</v>
      </c>
      <c r="D14" s="452" t="s">
        <v>297</v>
      </c>
      <c r="E14" s="140" t="s">
        <v>292</v>
      </c>
      <c r="F14" s="141"/>
    </row>
    <row r="15" spans="1:8" ht="15.75" thickBot="1">
      <c r="B15" s="144">
        <v>6</v>
      </c>
      <c r="C15" s="451" t="s">
        <v>298</v>
      </c>
      <c r="D15" s="452" t="s">
        <v>298</v>
      </c>
      <c r="E15" s="140" t="s">
        <v>292</v>
      </c>
      <c r="F15" s="141"/>
    </row>
    <row r="16" spans="1:8" ht="15.75" thickBot="1">
      <c r="B16" s="144">
        <v>7</v>
      </c>
      <c r="C16" s="451" t="s">
        <v>299</v>
      </c>
      <c r="D16" s="452" t="s">
        <v>299</v>
      </c>
      <c r="E16" s="140" t="s">
        <v>292</v>
      </c>
      <c r="F16" s="141"/>
    </row>
    <row r="17" spans="1:7" ht="28.5" customHeight="1" thickBot="1">
      <c r="B17" s="144">
        <v>8</v>
      </c>
      <c r="C17" s="451" t="s">
        <v>300</v>
      </c>
      <c r="D17" s="452" t="s">
        <v>300</v>
      </c>
      <c r="E17" s="140" t="s">
        <v>292</v>
      </c>
      <c r="F17" s="141"/>
    </row>
    <row r="18" spans="1:7" ht="18.75" customHeight="1" thickBot="1">
      <c r="B18" s="144">
        <v>9</v>
      </c>
      <c r="C18" s="451" t="s">
        <v>301</v>
      </c>
      <c r="D18" s="452" t="s">
        <v>301</v>
      </c>
      <c r="E18" s="140" t="s">
        <v>292</v>
      </c>
      <c r="F18" s="141"/>
    </row>
    <row r="19" spans="1:7" ht="15.75" thickBot="1">
      <c r="B19" s="144">
        <v>10</v>
      </c>
      <c r="C19" s="451" t="s">
        <v>302</v>
      </c>
      <c r="D19" s="452" t="s">
        <v>302</v>
      </c>
      <c r="E19" s="140"/>
      <c r="F19" s="141"/>
    </row>
    <row r="20" spans="1:7" ht="15.75" thickBot="1">
      <c r="B20" s="144">
        <v>11</v>
      </c>
      <c r="C20" s="451" t="s">
        <v>303</v>
      </c>
      <c r="D20" s="452" t="s">
        <v>303</v>
      </c>
      <c r="E20" s="140" t="s">
        <v>292</v>
      </c>
      <c r="F20" s="141"/>
    </row>
    <row r="21" spans="1:7" ht="15.75" thickBot="1">
      <c r="B21" s="144">
        <v>12</v>
      </c>
      <c r="C21" s="451" t="s">
        <v>304</v>
      </c>
      <c r="D21" s="452" t="s">
        <v>304</v>
      </c>
      <c r="E21" s="140"/>
      <c r="F21" s="141"/>
    </row>
    <row r="22" spans="1:7" ht="15.75" thickBot="1">
      <c r="B22" s="144">
        <v>13</v>
      </c>
      <c r="C22" s="451" t="s">
        <v>305</v>
      </c>
      <c r="D22" s="452" t="s">
        <v>305</v>
      </c>
      <c r="E22" s="140"/>
      <c r="F22" s="141"/>
    </row>
    <row r="23" spans="1:7" ht="15.75" thickBot="1">
      <c r="B23" s="144">
        <v>14</v>
      </c>
      <c r="C23" s="451" t="s">
        <v>306</v>
      </c>
      <c r="D23" s="452" t="s">
        <v>306</v>
      </c>
      <c r="E23" s="140"/>
      <c r="F23" s="141"/>
    </row>
    <row r="24" spans="1:7" ht="15.75" thickBot="1">
      <c r="B24" s="144">
        <v>15</v>
      </c>
      <c r="C24" s="451" t="s">
        <v>307</v>
      </c>
      <c r="D24" s="452" t="s">
        <v>307</v>
      </c>
      <c r="E24" s="140" t="s">
        <v>292</v>
      </c>
      <c r="F24" s="141"/>
    </row>
    <row r="25" spans="1:7" ht="15.75" thickBot="1">
      <c r="B25" s="144">
        <v>16</v>
      </c>
      <c r="C25" s="451" t="s">
        <v>308</v>
      </c>
      <c r="D25" s="452" t="s">
        <v>308</v>
      </c>
      <c r="E25" s="140"/>
      <c r="F25" s="141"/>
    </row>
    <row r="26" spans="1:7" ht="15.75" thickBot="1">
      <c r="B26" s="144">
        <v>17</v>
      </c>
      <c r="C26" s="451" t="s">
        <v>309</v>
      </c>
      <c r="D26" s="452" t="s">
        <v>309</v>
      </c>
      <c r="E26" s="140"/>
      <c r="F26" s="141"/>
    </row>
    <row r="27" spans="1:7" ht="15.75" thickBot="1">
      <c r="B27" s="144">
        <v>18</v>
      </c>
      <c r="C27" s="451" t="s">
        <v>310</v>
      </c>
      <c r="D27" s="452" t="s">
        <v>310</v>
      </c>
      <c r="E27" s="140" t="s">
        <v>292</v>
      </c>
      <c r="F27" s="141"/>
    </row>
    <row r="28" spans="1:7" ht="15.75" thickBot="1">
      <c r="B28" s="144">
        <v>19</v>
      </c>
      <c r="C28" s="451" t="s">
        <v>311</v>
      </c>
      <c r="D28" s="452" t="s">
        <v>311</v>
      </c>
      <c r="E28" s="140"/>
      <c r="F28" s="141"/>
    </row>
    <row r="29" spans="1:7">
      <c r="C29" s="139"/>
      <c r="D29" s="139"/>
      <c r="E29" s="147">
        <f>COUNTIF(E10:E28,"x")</f>
        <v>12</v>
      </c>
      <c r="F29" s="147">
        <f>COUNTIF(F10:F28,"x")</f>
        <v>0</v>
      </c>
      <c r="G29" s="146" t="str">
        <f>IF(E29=0,"",IF(E29&lt;=5,"Moderado",IF(E29&lt;=11,"Mayor",IF(E29&lt;=19,"Catastrófico",""))))</f>
        <v>Catastrófico</v>
      </c>
    </row>
    <row r="30" spans="1:7">
      <c r="C30" s="137"/>
      <c r="D30" s="137"/>
      <c r="E30" s="137"/>
      <c r="F30" s="137"/>
    </row>
    <row r="31" spans="1:7" ht="66" customHeight="1">
      <c r="A31" s="448" t="s">
        <v>312</v>
      </c>
      <c r="B31" s="449"/>
      <c r="C31" s="449"/>
      <c r="D31" s="449"/>
      <c r="E31" s="449"/>
      <c r="F31" s="450"/>
    </row>
  </sheetData>
  <mergeCells count="30">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s>
  <conditionalFormatting sqref="G29">
    <cfRule type="cellIs" dxfId="6" priority="1" stopIfTrue="1" operator="equal">
      <formula>"Catastrófico"</formula>
    </cfRule>
    <cfRule type="cellIs" dxfId="5" priority="2" stopIfTrue="1" operator="equal">
      <formula>"Moderado"</formula>
    </cfRule>
    <cfRule type="cellIs" dxfId="4"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zoomScale="70" zoomScaleNormal="70" workbookViewId="0">
      <selection activeCell="N12" sqref="N12"/>
    </sheetView>
  </sheetViews>
  <sheetFormatPr defaultColWidth="11.42578125" defaultRowHeight="15"/>
  <sheetData>
    <row r="2" spans="2:2">
      <c r="B2" t="s">
        <v>313</v>
      </c>
    </row>
    <row r="30" spans="2:2">
      <c r="B30" t="s">
        <v>314</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defaultColWidth="11.42578125" defaultRowHeight="15"/>
  <cols>
    <col min="3" max="3" width="119" customWidth="1"/>
    <col min="4" max="4" width="33.28515625" customWidth="1"/>
  </cols>
  <sheetData>
    <row r="1" spans="3:4" ht="15.75" thickBot="1"/>
    <row r="2" spans="3:4">
      <c r="C2" s="472" t="s">
        <v>315</v>
      </c>
      <c r="D2" s="473"/>
    </row>
    <row r="3" spans="3:4">
      <c r="C3" s="474"/>
      <c r="D3" s="475"/>
    </row>
    <row r="4" spans="3:4" ht="15.75" thickBot="1">
      <c r="C4" s="150" t="s">
        <v>316</v>
      </c>
      <c r="D4" s="151" t="s">
        <v>317</v>
      </c>
    </row>
    <row r="5" spans="3:4" ht="30" customHeight="1">
      <c r="C5" s="152" t="s">
        <v>318</v>
      </c>
      <c r="D5" s="153">
        <v>1</v>
      </c>
    </row>
    <row r="6" spans="3:4" ht="28.5" customHeight="1">
      <c r="C6" s="154" t="s">
        <v>319</v>
      </c>
      <c r="D6" s="155">
        <v>1</v>
      </c>
    </row>
    <row r="7" spans="3:4" ht="28.5" customHeight="1">
      <c r="C7" s="156" t="s">
        <v>320</v>
      </c>
      <c r="D7" s="155">
        <v>1</v>
      </c>
    </row>
    <row r="8" spans="3:4" ht="28.5" customHeight="1">
      <c r="C8" s="156" t="s">
        <v>321</v>
      </c>
      <c r="D8" s="155">
        <v>1</v>
      </c>
    </row>
    <row r="9" spans="3:4" ht="18.600000000000001" customHeight="1">
      <c r="C9" s="156" t="s">
        <v>322</v>
      </c>
      <c r="D9" s="155">
        <v>1</v>
      </c>
    </row>
    <row r="10" spans="3:4" ht="28.5" customHeight="1">
      <c r="C10" s="156" t="s">
        <v>323</v>
      </c>
      <c r="D10" s="155">
        <v>1</v>
      </c>
    </row>
    <row r="11" spans="3:4" ht="21" customHeight="1">
      <c r="C11" s="154" t="s">
        <v>324</v>
      </c>
      <c r="D11" s="155">
        <v>1</v>
      </c>
    </row>
    <row r="12" spans="3:4" ht="21" customHeight="1">
      <c r="C12" s="154" t="s">
        <v>325</v>
      </c>
      <c r="D12" s="155">
        <v>1</v>
      </c>
    </row>
    <row r="13" spans="3:4" ht="21.6" customHeight="1">
      <c r="C13" s="154" t="s">
        <v>326</v>
      </c>
      <c r="D13" s="155">
        <v>1</v>
      </c>
    </row>
    <row r="14" spans="3:4" ht="28.5" customHeight="1">
      <c r="C14" s="154" t="s">
        <v>327</v>
      </c>
      <c r="D14" s="155">
        <v>1</v>
      </c>
    </row>
    <row r="15" spans="3:4" ht="22.5" customHeight="1">
      <c r="C15" s="157"/>
      <c r="D15" s="155">
        <v>1</v>
      </c>
    </row>
    <row r="16" spans="3:4" ht="28.5" customHeight="1">
      <c r="C16" s="158" t="s">
        <v>328</v>
      </c>
      <c r="D16" s="159"/>
    </row>
    <row r="17" spans="3:4" ht="28.5" customHeight="1">
      <c r="C17" s="152" t="s">
        <v>329</v>
      </c>
      <c r="D17" s="155">
        <v>1</v>
      </c>
    </row>
    <row r="18" spans="3:4" ht="28.5" customHeight="1">
      <c r="C18" s="152" t="s">
        <v>330</v>
      </c>
      <c r="D18" s="155">
        <v>1</v>
      </c>
    </row>
    <row r="19" spans="3:4" ht="28.5" customHeight="1">
      <c r="C19" s="152" t="s">
        <v>331</v>
      </c>
      <c r="D19" s="155">
        <v>1</v>
      </c>
    </row>
    <row r="20" spans="3:4" ht="28.5" customHeight="1">
      <c r="C20" s="154" t="s">
        <v>332</v>
      </c>
      <c r="D20" s="155">
        <v>1</v>
      </c>
    </row>
    <row r="21" spans="3:4" ht="28.5" customHeight="1">
      <c r="C21" s="152" t="s">
        <v>333</v>
      </c>
      <c r="D21" s="155">
        <v>1</v>
      </c>
    </row>
    <row r="22" spans="3:4" ht="28.5" customHeight="1">
      <c r="C22" s="160" t="s">
        <v>334</v>
      </c>
      <c r="D22" s="155">
        <v>1</v>
      </c>
    </row>
    <row r="23" spans="3:4" ht="28.5" customHeight="1">
      <c r="C23" s="152" t="s">
        <v>335</v>
      </c>
      <c r="D23" s="155">
        <v>1</v>
      </c>
    </row>
    <row r="24" spans="3:4" ht="28.5" customHeight="1">
      <c r="C24" s="152" t="s">
        <v>336</v>
      </c>
      <c r="D24" s="155">
        <v>1</v>
      </c>
    </row>
    <row r="25" spans="3:4" ht="28.5" customHeight="1">
      <c r="C25" s="157"/>
      <c r="D25" s="155">
        <v>1</v>
      </c>
    </row>
    <row r="26" spans="3:4" ht="28.5" customHeight="1">
      <c r="C26" s="157"/>
      <c r="D26" s="155">
        <v>1</v>
      </c>
    </row>
    <row r="27" spans="3:4" ht="28.5" customHeight="1">
      <c r="C27" s="158" t="s">
        <v>337</v>
      </c>
      <c r="D27" s="161"/>
    </row>
    <row r="28" spans="3:4" ht="28.5" customHeight="1">
      <c r="C28" s="156" t="s">
        <v>338</v>
      </c>
      <c r="D28" s="155">
        <v>1</v>
      </c>
    </row>
    <row r="29" spans="3:4" ht="28.5" customHeight="1">
      <c r="C29" s="156" t="s">
        <v>339</v>
      </c>
      <c r="D29" s="155">
        <v>1</v>
      </c>
    </row>
    <row r="30" spans="3:4" ht="28.5" customHeight="1">
      <c r="C30" s="156" t="s">
        <v>340</v>
      </c>
      <c r="D30" s="155">
        <v>1</v>
      </c>
    </row>
    <row r="31" spans="3:4" ht="28.5" customHeight="1">
      <c r="C31" s="156" t="s">
        <v>341</v>
      </c>
      <c r="D31" s="155">
        <v>1</v>
      </c>
    </row>
    <row r="32" spans="3:4" ht="28.5" customHeight="1">
      <c r="C32" s="156" t="s">
        <v>342</v>
      </c>
      <c r="D32" s="155">
        <v>1</v>
      </c>
    </row>
    <row r="33" spans="3:4" ht="28.5" customHeight="1">
      <c r="C33" s="162" t="s">
        <v>343</v>
      </c>
      <c r="D33" s="155">
        <v>1</v>
      </c>
    </row>
    <row r="34" spans="3:4" ht="28.5" customHeight="1">
      <c r="C34" s="154" t="s">
        <v>344</v>
      </c>
      <c r="D34" s="155">
        <v>1</v>
      </c>
    </row>
    <row r="35" spans="3:4" ht="28.5" customHeight="1">
      <c r="C35" s="156" t="s">
        <v>345</v>
      </c>
      <c r="D35" s="155">
        <v>1</v>
      </c>
    </row>
    <row r="36" spans="3:4" ht="28.5" customHeight="1">
      <c r="C36" s="156" t="s">
        <v>346</v>
      </c>
      <c r="D36" s="155">
        <v>1</v>
      </c>
    </row>
    <row r="37" spans="3:4" ht="28.5" customHeight="1">
      <c r="C37" s="156" t="s">
        <v>347</v>
      </c>
      <c r="D37" s="155">
        <v>1</v>
      </c>
    </row>
    <row r="38" spans="3:4" ht="28.5" customHeight="1">
      <c r="C38" s="154" t="s">
        <v>348</v>
      </c>
      <c r="D38" s="155">
        <v>1</v>
      </c>
    </row>
    <row r="39" spans="3:4" ht="28.5" customHeight="1">
      <c r="C39" s="162" t="s">
        <v>349</v>
      </c>
      <c r="D39" s="155">
        <v>1</v>
      </c>
    </row>
    <row r="40" spans="3:4" ht="28.5" customHeight="1">
      <c r="C40" s="162" t="s">
        <v>350</v>
      </c>
      <c r="D40" s="155">
        <v>1</v>
      </c>
    </row>
    <row r="41" spans="3:4" ht="28.5" customHeight="1">
      <c r="C41" s="162" t="s">
        <v>351</v>
      </c>
      <c r="D41" s="155">
        <v>1</v>
      </c>
    </row>
    <row r="42" spans="3:4" ht="28.5" customHeight="1">
      <c r="C42" s="162" t="s">
        <v>352</v>
      </c>
      <c r="D42" s="155">
        <v>1</v>
      </c>
    </row>
    <row r="43" spans="3:4" ht="28.5" customHeight="1">
      <c r="C43" s="163"/>
      <c r="D43" s="155"/>
    </row>
    <row r="44" spans="3:4" ht="28.5" customHeight="1">
      <c r="C44" s="163"/>
      <c r="D44" s="155"/>
    </row>
    <row r="45" spans="3:4" ht="28.5" customHeight="1">
      <c r="C45" s="158" t="s">
        <v>353</v>
      </c>
      <c r="D45" s="161"/>
    </row>
    <row r="46" spans="3:4" ht="28.5" customHeight="1">
      <c r="C46" s="162" t="s">
        <v>354</v>
      </c>
      <c r="D46" s="155">
        <v>1</v>
      </c>
    </row>
    <row r="47" spans="3:4" ht="28.5" customHeight="1">
      <c r="C47" s="162" t="s">
        <v>355</v>
      </c>
      <c r="D47" s="155">
        <v>1</v>
      </c>
    </row>
    <row r="48" spans="3:4" ht="28.5" customHeight="1">
      <c r="C48" s="162" t="s">
        <v>356</v>
      </c>
      <c r="D48" s="155">
        <v>1</v>
      </c>
    </row>
    <row r="49" spans="3:4" ht="28.5" customHeight="1">
      <c r="C49" s="162" t="s">
        <v>357</v>
      </c>
      <c r="D49" s="155">
        <v>1</v>
      </c>
    </row>
    <row r="50" spans="3:4" ht="28.5" customHeight="1">
      <c r="C50" s="164" t="s">
        <v>358</v>
      </c>
      <c r="D50" s="155">
        <v>1</v>
      </c>
    </row>
    <row r="51" spans="3:4" ht="28.5" customHeight="1">
      <c r="C51" s="164" t="s">
        <v>359</v>
      </c>
      <c r="D51" s="155">
        <v>1</v>
      </c>
    </row>
    <row r="52" spans="3:4" ht="28.5" customHeight="1">
      <c r="C52" s="164" t="s">
        <v>360</v>
      </c>
      <c r="D52" s="155">
        <v>1</v>
      </c>
    </row>
    <row r="53" spans="3:4" ht="28.5" customHeight="1">
      <c r="C53" s="152" t="s">
        <v>361</v>
      </c>
      <c r="D53" s="155">
        <v>1</v>
      </c>
    </row>
    <row r="54" spans="3:4" ht="28.5" customHeight="1">
      <c r="C54" s="152" t="s">
        <v>362</v>
      </c>
      <c r="D54" s="155">
        <v>1</v>
      </c>
    </row>
    <row r="55" spans="3:4" ht="28.5" customHeight="1"/>
    <row r="56" spans="3:4" ht="11.1" customHeight="1"/>
    <row r="57" spans="3:4" ht="11.1" customHeight="1"/>
    <row r="58" spans="3:4" ht="11.1" customHeight="1"/>
    <row r="59" spans="3:4" ht="11.1" customHeight="1"/>
    <row r="60" spans="3:4" ht="11.1" customHeight="1"/>
    <row r="61" spans="3:4" ht="11.1" customHeight="1"/>
    <row r="62" spans="3:4" ht="11.1" customHeight="1"/>
    <row r="63" spans="3:4" ht="11.1" customHeight="1"/>
    <row r="64" spans="3:4" ht="11.1" customHeight="1"/>
    <row r="65" ht="11.1" customHeight="1"/>
    <row r="66" ht="11.1" customHeight="1"/>
    <row r="67" ht="11.1" customHeight="1"/>
    <row r="68" ht="11.1" customHeight="1"/>
    <row r="69" ht="11.1" customHeight="1"/>
    <row r="70" ht="11.1" customHeight="1"/>
    <row r="71" ht="11.1" customHeight="1"/>
    <row r="72" ht="11.1" customHeight="1"/>
    <row r="73" ht="11.1" customHeight="1"/>
    <row r="74" ht="11.1" customHeight="1"/>
    <row r="75" ht="11.1" customHeight="1"/>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60" zoomScaleNormal="60" workbookViewId="0">
      <pane ySplit="7" topLeftCell="A8" activePane="bottomLeft" state="frozen"/>
      <selection pane="bottomLeft" activeCell="AQ35" sqref="AQ35:AV42"/>
    </sheetView>
  </sheetViews>
  <sheetFormatPr defaultColWidth="11.42578125" defaultRowHeight="15"/>
  <cols>
    <col min="1" max="1" width="5.28515625" customWidth="1"/>
    <col min="2" max="2" width="8.7109375" customWidth="1"/>
    <col min="3" max="3" width="9" customWidth="1"/>
    <col min="4" max="41" width="5.7109375" customWidth="1"/>
    <col min="43" max="48" width="5.7109375" customWidth="1"/>
  </cols>
  <sheetData>
    <row r="1" spans="1:101" ht="15.75" thickBot="1"/>
    <row r="2" spans="1:101" ht="15" customHeight="1">
      <c r="D2" s="488" t="s">
        <v>363</v>
      </c>
      <c r="E2" s="489"/>
      <c r="F2" s="489"/>
      <c r="G2" s="489"/>
      <c r="H2" s="489"/>
      <c r="I2" s="489"/>
      <c r="J2" s="489"/>
      <c r="K2" s="490"/>
      <c r="L2" s="479" t="s">
        <v>8</v>
      </c>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0"/>
      <c r="AO2" s="481"/>
      <c r="AP2" s="469" t="s">
        <v>364</v>
      </c>
      <c r="AQ2" s="476"/>
      <c r="AR2" s="476"/>
      <c r="AS2" s="476"/>
      <c r="AT2" s="476"/>
      <c r="AU2" s="476"/>
      <c r="AV2" s="404"/>
    </row>
    <row r="3" spans="1:101">
      <c r="D3" s="491"/>
      <c r="E3" s="492"/>
      <c r="F3" s="492"/>
      <c r="G3" s="492"/>
      <c r="H3" s="492"/>
      <c r="I3" s="492"/>
      <c r="J3" s="492"/>
      <c r="K3" s="493"/>
      <c r="L3" s="482"/>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4"/>
      <c r="AP3" s="470" t="s">
        <v>3</v>
      </c>
      <c r="AQ3" s="477"/>
      <c r="AR3" s="477"/>
      <c r="AS3" s="477"/>
      <c r="AT3" s="477"/>
      <c r="AU3" s="477"/>
      <c r="AV3" s="406"/>
    </row>
    <row r="4" spans="1:101">
      <c r="D4" s="491"/>
      <c r="E4" s="492"/>
      <c r="F4" s="492"/>
      <c r="G4" s="492"/>
      <c r="H4" s="492"/>
      <c r="I4" s="492"/>
      <c r="J4" s="492"/>
      <c r="K4" s="493"/>
      <c r="L4" s="482"/>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3"/>
      <c r="AO4" s="484"/>
      <c r="AP4" s="470" t="s">
        <v>4</v>
      </c>
      <c r="AQ4" s="477" t="s">
        <v>365</v>
      </c>
      <c r="AR4" s="477"/>
      <c r="AS4" s="477"/>
      <c r="AT4" s="477"/>
      <c r="AU4" s="477"/>
      <c r="AV4" s="406"/>
    </row>
    <row r="5" spans="1:101" ht="15.75" thickBot="1">
      <c r="D5" s="494"/>
      <c r="E5" s="495"/>
      <c r="F5" s="495"/>
      <c r="G5" s="495"/>
      <c r="H5" s="495"/>
      <c r="I5" s="495"/>
      <c r="J5" s="495"/>
      <c r="K5" s="496"/>
      <c r="L5" s="485"/>
      <c r="M5" s="486"/>
      <c r="N5" s="486"/>
      <c r="O5" s="486"/>
      <c r="P5" s="486"/>
      <c r="Q5" s="486"/>
      <c r="R5" s="486"/>
      <c r="S5" s="486"/>
      <c r="T5" s="486"/>
      <c r="U5" s="486"/>
      <c r="V5" s="486"/>
      <c r="W5" s="486"/>
      <c r="X5" s="486"/>
      <c r="Y5" s="486"/>
      <c r="Z5" s="486"/>
      <c r="AA5" s="486"/>
      <c r="AB5" s="486"/>
      <c r="AC5" s="486"/>
      <c r="AD5" s="486"/>
      <c r="AE5" s="486"/>
      <c r="AF5" s="486"/>
      <c r="AG5" s="486"/>
      <c r="AH5" s="486"/>
      <c r="AI5" s="486"/>
      <c r="AJ5" s="486"/>
      <c r="AK5" s="486"/>
      <c r="AL5" s="486"/>
      <c r="AM5" s="486"/>
      <c r="AN5" s="486"/>
      <c r="AO5" s="487"/>
      <c r="AP5" s="471" t="s">
        <v>5</v>
      </c>
      <c r="AQ5" s="478" t="s">
        <v>5</v>
      </c>
      <c r="AR5" s="478"/>
      <c r="AS5" s="478"/>
      <c r="AT5" s="478"/>
      <c r="AU5" s="478"/>
      <c r="AV5" s="408"/>
    </row>
    <row r="7" spans="1:101" ht="18" customHeight="1">
      <c r="C7" s="68"/>
      <c r="D7" s="583" t="s">
        <v>366</v>
      </c>
      <c r="E7" s="583"/>
      <c r="F7" s="583"/>
      <c r="G7" s="583"/>
      <c r="H7" s="583"/>
      <c r="I7" s="583"/>
      <c r="J7" s="583"/>
      <c r="K7" s="583"/>
      <c r="L7" s="541" t="s">
        <v>28</v>
      </c>
      <c r="M7" s="541"/>
      <c r="N7" s="541"/>
      <c r="O7" s="541"/>
      <c r="P7" s="541"/>
      <c r="Q7" s="541"/>
      <c r="R7" s="541"/>
      <c r="S7" s="541"/>
      <c r="T7" s="541"/>
      <c r="U7" s="541"/>
      <c r="V7" s="541"/>
      <c r="W7" s="541"/>
      <c r="X7" s="541"/>
      <c r="Y7" s="541"/>
      <c r="Z7" s="541"/>
      <c r="AA7" s="541"/>
      <c r="AB7" s="541"/>
      <c r="AC7" s="541"/>
      <c r="AD7" s="541"/>
      <c r="AE7" s="541"/>
      <c r="AF7" s="541"/>
      <c r="AG7" s="541"/>
      <c r="AH7" s="541"/>
      <c r="AI7" s="541"/>
      <c r="AJ7" s="541"/>
      <c r="AK7" s="541"/>
      <c r="AL7" s="541"/>
      <c r="AM7" s="541"/>
      <c r="AN7" s="541"/>
      <c r="AO7" s="541"/>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c r="A8" s="269" t="s">
        <v>15</v>
      </c>
      <c r="B8" s="269"/>
      <c r="C8" s="270"/>
      <c r="D8" s="583"/>
      <c r="E8" s="583"/>
      <c r="F8" s="583"/>
      <c r="G8" s="583"/>
      <c r="H8" s="583"/>
      <c r="I8" s="583"/>
      <c r="J8" s="583"/>
      <c r="K8" s="583"/>
      <c r="L8" s="541"/>
      <c r="M8" s="541"/>
      <c r="N8" s="541"/>
      <c r="O8" s="541"/>
      <c r="P8" s="541"/>
      <c r="Q8" s="541"/>
      <c r="R8" s="541"/>
      <c r="S8" s="541"/>
      <c r="T8" s="541"/>
      <c r="U8" s="541"/>
      <c r="V8" s="541"/>
      <c r="W8" s="541"/>
      <c r="X8" s="541"/>
      <c r="Y8" s="541"/>
      <c r="Z8" s="541"/>
      <c r="AA8" s="541"/>
      <c r="AB8" s="541"/>
      <c r="AC8" s="541"/>
      <c r="AD8" s="541"/>
      <c r="AE8" s="541"/>
      <c r="AF8" s="541"/>
      <c r="AG8" s="541"/>
      <c r="AH8" s="541"/>
      <c r="AI8" s="541"/>
      <c r="AJ8" s="541"/>
      <c r="AK8" s="541"/>
      <c r="AL8" s="541"/>
      <c r="AM8" s="541"/>
      <c r="AN8" s="541"/>
      <c r="AO8" s="541"/>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c r="C9" s="68"/>
      <c r="D9" s="583"/>
      <c r="E9" s="583"/>
      <c r="F9" s="583"/>
      <c r="G9" s="583"/>
      <c r="H9" s="583"/>
      <c r="I9" s="583"/>
      <c r="J9" s="583"/>
      <c r="K9" s="583"/>
      <c r="L9" s="541"/>
      <c r="M9" s="541"/>
      <c r="N9" s="541"/>
      <c r="O9" s="541"/>
      <c r="P9" s="541"/>
      <c r="Q9" s="541"/>
      <c r="R9" s="541"/>
      <c r="S9" s="541"/>
      <c r="T9" s="541"/>
      <c r="U9" s="541"/>
      <c r="V9" s="541"/>
      <c r="W9" s="541"/>
      <c r="X9" s="541"/>
      <c r="Y9" s="541"/>
      <c r="Z9" s="541"/>
      <c r="AA9" s="541"/>
      <c r="AB9" s="541"/>
      <c r="AC9" s="541"/>
      <c r="AD9" s="541"/>
      <c r="AE9" s="541"/>
      <c r="AF9" s="541"/>
      <c r="AG9" s="541"/>
      <c r="AH9" s="541"/>
      <c r="AI9" s="541"/>
      <c r="AJ9" s="541"/>
      <c r="AK9" s="541"/>
      <c r="AL9" s="541"/>
      <c r="AM9" s="541"/>
      <c r="AN9" s="541"/>
      <c r="AO9" s="541"/>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5.75" thickBot="1">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c r="C11" s="68"/>
      <c r="D11" s="497" t="s">
        <v>367</v>
      </c>
      <c r="E11" s="497"/>
      <c r="F11" s="498"/>
      <c r="G11" s="535" t="s">
        <v>368</v>
      </c>
      <c r="H11" s="536"/>
      <c r="I11" s="536"/>
      <c r="J11" s="536"/>
      <c r="K11" s="536"/>
      <c r="L11" s="543"/>
      <c r="M11" s="544"/>
      <c r="N11" s="544" t="str">
        <f>IF(AND('Mapa final'!$K$15="Muy Alta",'Mapa final'!$O$15="Leve"),CONCATENATE("R",'Mapa final'!$A$16),"")</f>
        <v/>
      </c>
      <c r="O11" s="544"/>
      <c r="P11" s="544" t="e">
        <f>IF(AND('Mapa final'!#REF!="Muy Alta",'Mapa final'!$O$17="Leve"),CONCATENATE("R",'Mapa final'!$A$17),"")</f>
        <v>#REF!</v>
      </c>
      <c r="Q11" s="557"/>
      <c r="R11" s="543"/>
      <c r="S11" s="544"/>
      <c r="T11" s="544" t="str">
        <f>IF(AND('Mapa final'!$P$15="Muy Alta",'Mapa final'!$S$15="Menor"),CONCATENATE("R",'Mapa final'!$A$16),"")</f>
        <v/>
      </c>
      <c r="U11" s="544"/>
      <c r="V11" s="544" t="str">
        <f>IF(AND('Mapa final'!$P$17="Muy Alta",'Mapa final'!$S$17="Menor"),CONCATENATE("R",'Mapa final'!$A$17),"")</f>
        <v/>
      </c>
      <c r="W11" s="544"/>
      <c r="X11" s="543"/>
      <c r="Y11" s="544"/>
      <c r="Z11" s="544" t="str">
        <f>IF(AND('Mapa final'!P$15="Muy Alta",'Mapa final'!$S$15="Moderado"),CONCATENATE("R",'Mapa final'!$A$16),"")</f>
        <v/>
      </c>
      <c r="AA11" s="544"/>
      <c r="AB11" s="544" t="str">
        <f>IF(AND('Mapa final'!$P$17="Muy Alta",'Mapa final'!$S$17="Moderado"),CONCATENATE("R",'Mapa final'!$A$17),"")</f>
        <v/>
      </c>
      <c r="AC11" s="544"/>
      <c r="AD11" s="543"/>
      <c r="AE11" s="544"/>
      <c r="AF11" s="544" t="str">
        <f>IF(AND('Mapa final'!$P$15="Muy Alta",'Mapa final'!$S$15="Mayor"),CONCATENATE("R",'Mapa final'!$A$16),"")</f>
        <v/>
      </c>
      <c r="AG11" s="544"/>
      <c r="AH11" s="544" t="str">
        <f>IF(AND('Mapa final'!$P$17="Muy Alta",'Mapa final'!$S$17="Mayor"),CONCATENATE("R",'Mapa final'!$A$17),"")</f>
        <v/>
      </c>
      <c r="AI11" s="544"/>
      <c r="AJ11" s="561"/>
      <c r="AK11" s="562"/>
      <c r="AL11" s="562" t="str">
        <f>IF(AND('Mapa final'!$P$15="Muy Alta",'Mapa final'!$S$15="Catastrófico"),CONCATENATE("R",'Mapa final'!$A$16),"")</f>
        <v/>
      </c>
      <c r="AM11" s="562"/>
      <c r="AN11" s="562" t="str">
        <f>IF(AND('Mapa final'!$P$17="Muy Alta",'Mapa final'!$S$17="Catastrófico"),CONCATENATE("R",'Mapa final'!$A$17),"")</f>
        <v/>
      </c>
      <c r="AO11" s="563"/>
      <c r="AQ11" s="499" t="s">
        <v>369</v>
      </c>
      <c r="AR11" s="500"/>
      <c r="AS11" s="500"/>
      <c r="AT11" s="500"/>
      <c r="AU11" s="500"/>
      <c r="AV11" s="501"/>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c r="C12" s="68"/>
      <c r="D12" s="497"/>
      <c r="E12" s="497"/>
      <c r="F12" s="498"/>
      <c r="G12" s="537"/>
      <c r="H12" s="538"/>
      <c r="I12" s="538"/>
      <c r="J12" s="538"/>
      <c r="K12" s="538"/>
      <c r="L12" s="545"/>
      <c r="M12" s="542"/>
      <c r="N12" s="542"/>
      <c r="O12" s="542"/>
      <c r="P12" s="542"/>
      <c r="Q12" s="550"/>
      <c r="R12" s="545"/>
      <c r="S12" s="542"/>
      <c r="T12" s="542"/>
      <c r="U12" s="542"/>
      <c r="V12" s="542"/>
      <c r="W12" s="542"/>
      <c r="X12" s="545"/>
      <c r="Y12" s="542"/>
      <c r="Z12" s="542"/>
      <c r="AA12" s="542"/>
      <c r="AB12" s="542"/>
      <c r="AC12" s="542"/>
      <c r="AD12" s="545"/>
      <c r="AE12" s="542"/>
      <c r="AF12" s="542"/>
      <c r="AG12" s="542"/>
      <c r="AH12" s="542"/>
      <c r="AI12" s="542"/>
      <c r="AJ12" s="558"/>
      <c r="AK12" s="559"/>
      <c r="AL12" s="559"/>
      <c r="AM12" s="559"/>
      <c r="AN12" s="559"/>
      <c r="AO12" s="560"/>
      <c r="AP12" s="68"/>
      <c r="AQ12" s="502"/>
      <c r="AR12" s="503"/>
      <c r="AS12" s="503"/>
      <c r="AT12" s="503"/>
      <c r="AU12" s="503"/>
      <c r="AV12" s="504"/>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c r="C13" s="68"/>
      <c r="D13" s="497"/>
      <c r="E13" s="497"/>
      <c r="F13" s="498"/>
      <c r="G13" s="537"/>
      <c r="H13" s="538"/>
      <c r="I13" s="538"/>
      <c r="J13" s="538"/>
      <c r="K13" s="538"/>
      <c r="L13" s="545" t="str">
        <f>IF(AND('Mapa final'!$P$20="Muy Alta",'Mapa final'!$S$20="Leve"),CONCATENATE("R",'Mapa final'!$A$20),"")</f>
        <v/>
      </c>
      <c r="M13" s="542"/>
      <c r="N13" s="542" t="str">
        <f>IF(AND('Mapa final'!$K$21="Muy Alta",'Mapa final'!$O$21="Leve"),CONCATENATE("R",'Mapa final'!$A$21),"")</f>
        <v/>
      </c>
      <c r="O13" s="542"/>
      <c r="P13" s="542" t="str">
        <f>IF(AND('Mapa final'!$K$22="Muy Alta",'Mapa final'!$O$22="Leve"),CONCATENATE("R",'Mapa final'!$A$22),"")</f>
        <v/>
      </c>
      <c r="Q13" s="550"/>
      <c r="R13" s="545" t="str">
        <f>IF(AND('Mapa final'!$P$20="Muy Alta",'Mapa final'!$S$20="Menor"),CONCATENATE("R",'Mapa final'!$A$20),"")</f>
        <v/>
      </c>
      <c r="S13" s="542"/>
      <c r="T13" s="542" t="str">
        <f>IF(AND('Mapa final'!$P$21="Muy Alta",'Mapa final'!$S$21="Menor"),CONCATENATE("R",'Mapa final'!$A$21),"")</f>
        <v/>
      </c>
      <c r="U13" s="542"/>
      <c r="V13" s="542" t="str">
        <f>IF(AND('Mapa final'!$P$22="Muy Alta",'Mapa final'!$S$22="Menor"),CONCATENATE("R",'Mapa final'!$A$22),"")</f>
        <v/>
      </c>
      <c r="W13" s="542"/>
      <c r="X13" s="545" t="str">
        <f>IF(AND('Mapa final'!$P$20="Muy Alta",'Mapa final'!$S$20="Moderado"),CONCATENATE("R",'Mapa final'!$A$20),"")</f>
        <v/>
      </c>
      <c r="Y13" s="542"/>
      <c r="Z13" s="542" t="str">
        <f>IF(AND('Mapa final'!$P$21="Muy Alta",'Mapa final'!$S$21="Moderado"),CONCATENATE("R",'Mapa final'!$A$21),"")</f>
        <v/>
      </c>
      <c r="AA13" s="542"/>
      <c r="AB13" s="542" t="str">
        <f>IF(AND('Mapa final'!$P$22="Muy Alta",'Mapa final'!$S$22="Moderado"),CONCATENATE("R",'Mapa final'!$A$22),"")</f>
        <v/>
      </c>
      <c r="AC13" s="542"/>
      <c r="AD13" s="545" t="str">
        <f>IF(AND('Mapa final'!$P$20="Muy Alta",'Mapa final'!$S$20="Mayor"),CONCATENATE("R",'Mapa final'!$A$20),"")</f>
        <v/>
      </c>
      <c r="AE13" s="542"/>
      <c r="AF13" s="542" t="str">
        <f>IF(AND('Mapa final'!$P$21="Muy Alta",'Mapa final'!$S$21="Mayor"),CONCATENATE("R",'Mapa final'!$A$21),"")</f>
        <v/>
      </c>
      <c r="AG13" s="542"/>
      <c r="AH13" s="542" t="str">
        <f>IF(AND('Mapa final'!$P$22="Muy Alta",'Mapa final'!$S$22="Mayor"),CONCATENATE("R",'Mapa final'!$A$22),"")</f>
        <v/>
      </c>
      <c r="AI13" s="542"/>
      <c r="AJ13" s="558" t="str">
        <f>IF(AND('Mapa final'!$P$20="Muy Alta",'Mapa final'!$S$20="Catastrófico"),CONCATENATE("R",'Mapa final'!$A$20),"")</f>
        <v/>
      </c>
      <c r="AK13" s="559"/>
      <c r="AL13" s="559" t="str">
        <f>IF(AND('Mapa final'!$P$21="Muy Alta",'Mapa final'!$S$21="Catastrófico"),CONCATENATE("R",'Mapa final'!$A$21),"")</f>
        <v/>
      </c>
      <c r="AM13" s="559"/>
      <c r="AN13" s="559" t="str">
        <f>IF(AND('Mapa final'!$P$22="Muy Alta",'Mapa final'!$K$22="Catastrófico"),CONCATENATE("R",'Mapa final'!$A$22),"")</f>
        <v/>
      </c>
      <c r="AO13" s="560"/>
      <c r="AP13" s="68"/>
      <c r="AQ13" s="502"/>
      <c r="AR13" s="503"/>
      <c r="AS13" s="503"/>
      <c r="AT13" s="503"/>
      <c r="AU13" s="503"/>
      <c r="AV13" s="504"/>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c r="C14" s="68"/>
      <c r="D14" s="497"/>
      <c r="E14" s="497"/>
      <c r="F14" s="498"/>
      <c r="G14" s="537"/>
      <c r="H14" s="538"/>
      <c r="I14" s="538"/>
      <c r="J14" s="538"/>
      <c r="K14" s="538"/>
      <c r="L14" s="545"/>
      <c r="M14" s="542"/>
      <c r="N14" s="542"/>
      <c r="O14" s="542"/>
      <c r="P14" s="542"/>
      <c r="Q14" s="550"/>
      <c r="R14" s="545"/>
      <c r="S14" s="542"/>
      <c r="T14" s="542"/>
      <c r="U14" s="542"/>
      <c r="V14" s="542"/>
      <c r="W14" s="542"/>
      <c r="X14" s="545"/>
      <c r="Y14" s="542"/>
      <c r="Z14" s="542"/>
      <c r="AA14" s="542"/>
      <c r="AB14" s="542"/>
      <c r="AC14" s="542"/>
      <c r="AD14" s="545"/>
      <c r="AE14" s="542"/>
      <c r="AF14" s="542"/>
      <c r="AG14" s="542"/>
      <c r="AH14" s="542"/>
      <c r="AI14" s="542"/>
      <c r="AJ14" s="558"/>
      <c r="AK14" s="559"/>
      <c r="AL14" s="559"/>
      <c r="AM14" s="559"/>
      <c r="AN14" s="559"/>
      <c r="AO14" s="560"/>
      <c r="AP14" s="68"/>
      <c r="AQ14" s="502"/>
      <c r="AR14" s="503"/>
      <c r="AS14" s="503"/>
      <c r="AT14" s="503"/>
      <c r="AU14" s="503"/>
      <c r="AV14" s="504"/>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c r="C15" s="68"/>
      <c r="D15" s="497"/>
      <c r="E15" s="497"/>
      <c r="F15" s="498"/>
      <c r="G15" s="537"/>
      <c r="H15" s="538"/>
      <c r="I15" s="538"/>
      <c r="J15" s="538"/>
      <c r="K15" s="538"/>
      <c r="L15" s="545" t="str">
        <f>IF(AND('Mapa final'!$P$23="Muy Alta",'Mapa final'!$S$23="Leve"),CONCATENATE("R",'Mapa final'!$A$23),"")</f>
        <v/>
      </c>
      <c r="M15" s="542"/>
      <c r="N15" s="542" t="str">
        <f>IF(AND('Mapa final'!$K$24="Muy Alta",'Mapa final'!$O$24="Leve"),CONCATENATE("R",'Mapa final'!$A$24),"")</f>
        <v/>
      </c>
      <c r="O15" s="542"/>
      <c r="P15" s="542" t="str">
        <f>IF(AND('Mapa final'!$K$33="Muy Alta",'Mapa final'!$O$33="Leve"),CONCATENATE("R",'Mapa final'!$A$33),"")</f>
        <v/>
      </c>
      <c r="Q15" s="550"/>
      <c r="R15" s="545" t="str">
        <f>IF(AND('Mapa final'!$P$23="Muy Alta",'Mapa final'!$S$23="Menor"),CONCATENATE("R",'Mapa final'!$A$23),"")</f>
        <v/>
      </c>
      <c r="S15" s="542"/>
      <c r="T15" s="542" t="str">
        <f>IF(AND('Mapa final'!$LT$24="Muy Alta",'Mapa final'!$S$24="Menor"),CONCATENATE("R",'Mapa final'!$A$24),"")</f>
        <v/>
      </c>
      <c r="U15" s="542"/>
      <c r="V15" s="542" t="str">
        <f>IF(AND('Mapa final'!$P$33="Muy Alta",'Mapa final'!$S$33="Menor"),CONCATENATE("R",'Mapa final'!$A$33),"")</f>
        <v/>
      </c>
      <c r="W15" s="542"/>
      <c r="X15" s="545" t="str">
        <f>IF(AND('Mapa final'!$P$23="Muy Alta",'Mapa final'!$S$23="Moderado"),CONCATENATE("R",'Mapa final'!$A$23),"")</f>
        <v/>
      </c>
      <c r="Y15" s="542"/>
      <c r="Z15" s="542" t="str">
        <f>IF(AND('Mapa final'!$P$24="Muy Alta",'Mapa final'!$S$24="Moderado"),CONCATENATE("R",'Mapa final'!$A$24),"")</f>
        <v/>
      </c>
      <c r="AA15" s="542"/>
      <c r="AB15" s="542" t="str">
        <f>IF(AND('Mapa final'!$P$33="Muy Alta",'Mapa final'!$S$33="Moderado"),CONCATENATE("R",'Mapa final'!$A$33),"")</f>
        <v/>
      </c>
      <c r="AC15" s="542"/>
      <c r="AD15" s="545" t="str">
        <f>IF(AND('Mapa final'!$P$23="Muy Alta",'Mapa final'!$S$23="Mayor"),CONCATENATE("R",'Mapa final'!$A$23),"")</f>
        <v/>
      </c>
      <c r="AE15" s="542"/>
      <c r="AF15" s="542" t="str">
        <f>IF(AND('Mapa final'!$P$24="Muy Alta",'Mapa final'!$S$24="Mayor"),CONCATENATE("R",'Mapa final'!$A$24),"")</f>
        <v/>
      </c>
      <c r="AG15" s="542"/>
      <c r="AH15" s="542" t="str">
        <f>IF(AND('Mapa final'!$P$33="Muy Alta",'Mapa final'!$S$33="Mayor"),CONCATENATE("R",'Mapa final'!$A$33),"")</f>
        <v/>
      </c>
      <c r="AI15" s="542"/>
      <c r="AJ15" s="558" t="str">
        <f>IF(AND('Mapa final'!$P$23="Muy Alta",'Mapa final'!$S$23="Catastrófico"),CONCATENATE("R",'Mapa final'!$A$23),"")</f>
        <v/>
      </c>
      <c r="AK15" s="559"/>
      <c r="AL15" s="559" t="str">
        <f>IF(AND('Mapa final'!$P$24="Muy Alta",'Mapa final'!$S$24="Catastrófico"),CONCATENATE("R",'Mapa final'!$A$24),"")</f>
        <v/>
      </c>
      <c r="AM15" s="559"/>
      <c r="AN15" s="559" t="str">
        <f>IF(AND('Mapa final'!$P$33="Muy Alta",'Mapa final'!$S$33="Catastrófico"),CONCATENATE("R",'Mapa final'!$A$33),"")</f>
        <v/>
      </c>
      <c r="AO15" s="560"/>
      <c r="AP15" s="68"/>
      <c r="AQ15" s="502"/>
      <c r="AR15" s="503"/>
      <c r="AS15" s="503"/>
      <c r="AT15" s="503"/>
      <c r="AU15" s="503"/>
      <c r="AV15" s="504"/>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c r="C16" s="68"/>
      <c r="D16" s="497"/>
      <c r="E16" s="497"/>
      <c r="F16" s="498"/>
      <c r="G16" s="537"/>
      <c r="H16" s="538"/>
      <c r="I16" s="538"/>
      <c r="J16" s="538"/>
      <c r="K16" s="538"/>
      <c r="L16" s="545"/>
      <c r="M16" s="542"/>
      <c r="N16" s="542"/>
      <c r="O16" s="542"/>
      <c r="P16" s="542"/>
      <c r="Q16" s="550"/>
      <c r="R16" s="545"/>
      <c r="S16" s="542"/>
      <c r="T16" s="542"/>
      <c r="U16" s="542"/>
      <c r="V16" s="542"/>
      <c r="W16" s="542"/>
      <c r="X16" s="545"/>
      <c r="Y16" s="542"/>
      <c r="Z16" s="542"/>
      <c r="AA16" s="542"/>
      <c r="AB16" s="542"/>
      <c r="AC16" s="542"/>
      <c r="AD16" s="545"/>
      <c r="AE16" s="542"/>
      <c r="AF16" s="542"/>
      <c r="AG16" s="542"/>
      <c r="AH16" s="542"/>
      <c r="AI16" s="542"/>
      <c r="AJ16" s="558"/>
      <c r="AK16" s="559"/>
      <c r="AL16" s="559"/>
      <c r="AM16" s="559"/>
      <c r="AN16" s="559"/>
      <c r="AO16" s="560"/>
      <c r="AP16" s="68"/>
      <c r="AQ16" s="502"/>
      <c r="AR16" s="503"/>
      <c r="AS16" s="503"/>
      <c r="AT16" s="503"/>
      <c r="AU16" s="503"/>
      <c r="AV16" s="504"/>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c r="C17" s="68"/>
      <c r="D17" s="497"/>
      <c r="E17" s="497"/>
      <c r="F17" s="498"/>
      <c r="G17" s="537"/>
      <c r="H17" s="538"/>
      <c r="I17" s="538"/>
      <c r="J17" s="538"/>
      <c r="K17" s="538"/>
      <c r="L17" s="545" t="str">
        <f>IF(AND('Mapa final'!$P$34="Muy Alta",'Mapa final'!$S$34="Leve"),CONCATENATE("R",'Mapa final'!$A$34),"")</f>
        <v/>
      </c>
      <c r="M17" s="542"/>
      <c r="N17" s="542" t="str">
        <f>IF(AND('Mapa final'!$K$35="Muy Alta",'Mapa final'!$O$35="Leve"),CONCATENATE("R",'Mapa final'!$A$35),"")</f>
        <v/>
      </c>
      <c r="O17" s="542"/>
      <c r="P17" s="542" t="str">
        <f>IF(AND('Mapa final'!$K$36="Muy Alta",'Mapa final'!$O$36="Leve"),CONCATENATE("R",'Mapa final'!$A$36),"")</f>
        <v/>
      </c>
      <c r="Q17" s="550"/>
      <c r="R17" s="545" t="str">
        <f>IF(AND('Mapa final'!$P$34="Muy Alta",'Mapa final'!$S$34="Menor"),CONCATENATE("R",'Mapa final'!$A$34),"")</f>
        <v/>
      </c>
      <c r="S17" s="542"/>
      <c r="T17" s="542" t="str">
        <f>IF(AND('Mapa final'!$P$35="Muy Alta",'Mapa final'!$S$35="Menor"),CONCATENATE("R",'Mapa final'!$A$35),"")</f>
        <v/>
      </c>
      <c r="U17" s="542"/>
      <c r="V17" s="542" t="str">
        <f>IF(AND('Mapa final'!$P$36="Muy Alta",'Mapa final'!$S$36="Menor"),CONCATENATE("R",'Mapa final'!$A$36),"")</f>
        <v/>
      </c>
      <c r="W17" s="542"/>
      <c r="X17" s="545" t="str">
        <f>IF(AND('Mapa final'!$P$34="Muy Alta",'Mapa final'!$S$34="Moderado"),CONCATENATE("R",'Mapa final'!$A$34),"")</f>
        <v/>
      </c>
      <c r="Y17" s="542"/>
      <c r="Z17" s="542" t="str">
        <f>IF(AND('Mapa final'!$P$35="Muy Alta",'Mapa final'!$S$35="Moderado"),CONCATENATE("R",'Mapa final'!$A$35),"")</f>
        <v/>
      </c>
      <c r="AA17" s="542"/>
      <c r="AB17" s="542" t="str">
        <f>IF(AND('Mapa final'!$P$36="Muy Alta",'Mapa final'!$S$36="Moderado"),CONCATENATE("R",'Mapa final'!$A$36),"")</f>
        <v/>
      </c>
      <c r="AC17" s="542"/>
      <c r="AD17" s="545" t="str">
        <f>IF(AND('Mapa final'!$P$34="Muy Alta",'Mapa final'!$S$34="Mayor"),CONCATENATE("R",'Mapa final'!$A$34),"")</f>
        <v/>
      </c>
      <c r="AE17" s="542"/>
      <c r="AF17" s="542" t="str">
        <f>IF(AND('Mapa final'!$P$35="Muy Alta",'Mapa final'!$S$35="Mayor"),CONCATENATE("R",'Mapa final'!$A$35),"")</f>
        <v/>
      </c>
      <c r="AG17" s="542"/>
      <c r="AH17" s="542" t="str">
        <f>IF(AND('Mapa final'!$P$36="Muy Alta",'Mapa final'!$S$36="Mayor"),CONCATENATE("R",'Mapa final'!$A$36),"")</f>
        <v/>
      </c>
      <c r="AI17" s="542"/>
      <c r="AJ17" s="558" t="str">
        <f>IF(AND('Mapa final'!$P$34="Muy Alta",'Mapa final'!$S$34="Catastrófico"),CONCATENATE("R",'Mapa final'!$A$34),"")</f>
        <v/>
      </c>
      <c r="AK17" s="559"/>
      <c r="AL17" s="559" t="str">
        <f>IF(AND('Mapa final'!$P$35="Muy Alta",'Mapa final'!$S$35="Catastrófico"),CONCATENATE("R",'Mapa final'!$A$35),"")</f>
        <v/>
      </c>
      <c r="AM17" s="559"/>
      <c r="AN17" s="559" t="str">
        <f>IF(AND('Mapa final'!$P$36="Muy Alta",'Mapa final'!$S$36="Catastrófico"),CONCATENATE("R",'Mapa final'!$A$36),"")</f>
        <v/>
      </c>
      <c r="AO17" s="560"/>
      <c r="AP17" s="68"/>
      <c r="AQ17" s="502"/>
      <c r="AR17" s="503"/>
      <c r="AS17" s="503"/>
      <c r="AT17" s="503"/>
      <c r="AU17" s="503"/>
      <c r="AV17" s="504"/>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c r="C18" s="68"/>
      <c r="D18" s="497"/>
      <c r="E18" s="497"/>
      <c r="F18" s="498"/>
      <c r="G18" s="539"/>
      <c r="H18" s="540"/>
      <c r="I18" s="540"/>
      <c r="J18" s="540"/>
      <c r="K18" s="540"/>
      <c r="L18" s="556"/>
      <c r="M18" s="551"/>
      <c r="N18" s="551"/>
      <c r="O18" s="551"/>
      <c r="P18" s="551"/>
      <c r="Q18" s="552"/>
      <c r="R18" s="556"/>
      <c r="S18" s="551"/>
      <c r="T18" s="551"/>
      <c r="U18" s="551"/>
      <c r="V18" s="551"/>
      <c r="W18" s="551"/>
      <c r="X18" s="545"/>
      <c r="Y18" s="542"/>
      <c r="Z18" s="542"/>
      <c r="AA18" s="542"/>
      <c r="AB18" s="542"/>
      <c r="AC18" s="542"/>
      <c r="AD18" s="545"/>
      <c r="AE18" s="542"/>
      <c r="AF18" s="542"/>
      <c r="AG18" s="542"/>
      <c r="AH18" s="542"/>
      <c r="AI18" s="542"/>
      <c r="AJ18" s="558"/>
      <c r="AK18" s="559"/>
      <c r="AL18" s="559"/>
      <c r="AM18" s="559"/>
      <c r="AN18" s="559"/>
      <c r="AO18" s="560"/>
      <c r="AP18" s="68"/>
      <c r="AQ18" s="505"/>
      <c r="AR18" s="506"/>
      <c r="AS18" s="506"/>
      <c r="AT18" s="506"/>
      <c r="AU18" s="506"/>
      <c r="AV18" s="507"/>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c r="C19" s="68"/>
      <c r="D19" s="497"/>
      <c r="E19" s="497"/>
      <c r="F19" s="498"/>
      <c r="G19" s="535" t="s">
        <v>370</v>
      </c>
      <c r="H19" s="536"/>
      <c r="I19" s="536"/>
      <c r="J19" s="536"/>
      <c r="K19" s="536"/>
      <c r="L19" s="571"/>
      <c r="M19" s="572"/>
      <c r="N19" s="572" t="str">
        <f>IF(AND('Mapa final'!$K$15="Alta",'Mapa final'!$O$15="Leve"),CONCATENATE("R",'Mapa final'!$A$16),"")</f>
        <v/>
      </c>
      <c r="O19" s="572"/>
      <c r="P19" s="572" t="e">
        <f>IF(AND('Mapa final'!#REF!="Alta",'Mapa final'!$O$17="Leve"),CONCATENATE("R",'Mapa final'!$A$17),"")</f>
        <v>#REF!</v>
      </c>
      <c r="Q19" s="573"/>
      <c r="R19" s="571"/>
      <c r="S19" s="572"/>
      <c r="T19" s="554" t="str">
        <f>IF(AND('Mapa final'!$P$15="Alta",'Mapa final'!$S$15="Menor"),CONCATENATE("R",'Mapa final'!$A$16),"")</f>
        <v/>
      </c>
      <c r="U19" s="554"/>
      <c r="V19" s="554" t="str">
        <f>IF(AND('Mapa final'!$P$17="Alta",'Mapa final'!$S$17="Menor"),CONCATENATE("R",'Mapa final'!$A$17),"")</f>
        <v/>
      </c>
      <c r="W19" s="554"/>
      <c r="X19" s="543"/>
      <c r="Y19" s="544"/>
      <c r="Z19" s="544" t="str">
        <f>IF(AND('Mapa final'!P$15="Alta",'Mapa final'!$S$15="Moderado"),CONCATENATE("R",'Mapa final'!$A$16),"")</f>
        <v/>
      </c>
      <c r="AA19" s="544"/>
      <c r="AB19" s="544" t="str">
        <f>IF(AND('Mapa final'!$P$17="Alta",'Mapa final'!$S$17="Moderado"),CONCATENATE("R",'Mapa final'!$A$17),"")</f>
        <v/>
      </c>
      <c r="AC19" s="544"/>
      <c r="AD19" s="543"/>
      <c r="AE19" s="544"/>
      <c r="AF19" s="544" t="str">
        <f>IF(AND('Mapa final'!$P$15="Alta",'Mapa final'!$S$15="Mayor"),CONCATENATE("R",'Mapa final'!$A$16),"")</f>
        <v/>
      </c>
      <c r="AG19" s="544"/>
      <c r="AH19" s="544" t="str">
        <f>IF(AND('Mapa final'!$P$17="Alta",'Mapa final'!$S$17="Mayor"),CONCATENATE("R",'Mapa final'!$A$17),"")</f>
        <v/>
      </c>
      <c r="AI19" s="544"/>
      <c r="AJ19" s="561"/>
      <c r="AK19" s="562"/>
      <c r="AL19" s="562" t="str">
        <f>IF(AND('Mapa final'!$P$15="Alta",'Mapa final'!$S$15="Catastrófico"),CONCATENATE("R",'Mapa final'!$A$16),"")</f>
        <v/>
      </c>
      <c r="AM19" s="562"/>
      <c r="AN19" s="562" t="str">
        <f>IF(AND('Mapa final'!$P$17="Alta",'Mapa final'!$S$17="Catastrófico"),CONCATENATE("R",'Mapa final'!$A$17),"")</f>
        <v/>
      </c>
      <c r="AO19" s="563"/>
      <c r="AP19" s="68"/>
      <c r="AQ19" s="508" t="s">
        <v>371</v>
      </c>
      <c r="AR19" s="509"/>
      <c r="AS19" s="509"/>
      <c r="AT19" s="509"/>
      <c r="AU19" s="509"/>
      <c r="AV19" s="510"/>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c r="C20" s="68"/>
      <c r="D20" s="497"/>
      <c r="E20" s="497"/>
      <c r="F20" s="498"/>
      <c r="G20" s="537"/>
      <c r="H20" s="538"/>
      <c r="I20" s="538"/>
      <c r="J20" s="538"/>
      <c r="K20" s="538"/>
      <c r="L20" s="553"/>
      <c r="M20" s="554"/>
      <c r="N20" s="554"/>
      <c r="O20" s="554"/>
      <c r="P20" s="554"/>
      <c r="Q20" s="567"/>
      <c r="R20" s="553"/>
      <c r="S20" s="554"/>
      <c r="T20" s="554"/>
      <c r="U20" s="554"/>
      <c r="V20" s="554"/>
      <c r="W20" s="554"/>
      <c r="X20" s="545"/>
      <c r="Y20" s="542"/>
      <c r="Z20" s="542"/>
      <c r="AA20" s="542"/>
      <c r="AB20" s="542"/>
      <c r="AC20" s="542"/>
      <c r="AD20" s="545"/>
      <c r="AE20" s="542"/>
      <c r="AF20" s="542"/>
      <c r="AG20" s="542"/>
      <c r="AH20" s="542"/>
      <c r="AI20" s="542"/>
      <c r="AJ20" s="558"/>
      <c r="AK20" s="559"/>
      <c r="AL20" s="559"/>
      <c r="AM20" s="559"/>
      <c r="AN20" s="559"/>
      <c r="AO20" s="560"/>
      <c r="AP20" s="68"/>
      <c r="AQ20" s="511"/>
      <c r="AR20" s="512"/>
      <c r="AS20" s="512"/>
      <c r="AT20" s="512"/>
      <c r="AU20" s="512"/>
      <c r="AV20" s="513"/>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c r="C21" s="68"/>
      <c r="D21" s="497"/>
      <c r="E21" s="497"/>
      <c r="F21" s="498"/>
      <c r="G21" s="537"/>
      <c r="H21" s="538"/>
      <c r="I21" s="538"/>
      <c r="J21" s="538"/>
      <c r="K21" s="538"/>
      <c r="L21" s="553" t="str">
        <f>IF(AND('Mapa final'!$P$20="Alta",'Mapa final'!$S$20="Leve"),CONCATENATE("R",'Mapa final'!$A$20),"")</f>
        <v/>
      </c>
      <c r="M21" s="554"/>
      <c r="N21" s="554" t="str">
        <f>IF(AND('Mapa final'!$K$21="Alta",'Mapa final'!$O$21="Leve"),CONCATENATE("R",'Mapa final'!$A$21),"")</f>
        <v/>
      </c>
      <c r="O21" s="554"/>
      <c r="P21" s="554" t="str">
        <f>IF(AND('Mapa final'!$K$22="Alta",'Mapa final'!$O$22="Leve"),CONCATENATE("R",'Mapa final'!$A$22),"")</f>
        <v/>
      </c>
      <c r="Q21" s="567"/>
      <c r="R21" s="553" t="str">
        <f>IF(AND('Mapa final'!$P$20="Alta",'Mapa final'!$S$20="Menor"),CONCATENATE("R",'Mapa final'!$A$20),"")</f>
        <v/>
      </c>
      <c r="S21" s="554"/>
      <c r="T21" s="554" t="str">
        <f>IF(AND('Mapa final'!$P$21="Alta",'Mapa final'!$S$21="Menor"),CONCATENATE("R",'Mapa final'!$A$21),"")</f>
        <v/>
      </c>
      <c r="U21" s="554"/>
      <c r="V21" s="554" t="str">
        <f>IF(AND('Mapa final'!$P$22="Alta",'Mapa final'!$S$22="Menor"),CONCATENATE("R",'Mapa final'!$A$22),"")</f>
        <v/>
      </c>
      <c r="W21" s="554"/>
      <c r="X21" s="545" t="str">
        <f>IF(AND('Mapa final'!$P$20="Alta",'Mapa final'!$S$20="Moderado"),CONCATENATE("R",'Mapa final'!$A$20),"")</f>
        <v/>
      </c>
      <c r="Y21" s="542"/>
      <c r="Z21" s="542" t="str">
        <f>IF(AND('Mapa final'!$P$21="Alta",'Mapa final'!$S$21="Moderado"),CONCATENATE("R",'Mapa final'!$A$21),"")</f>
        <v/>
      </c>
      <c r="AA21" s="542"/>
      <c r="AB21" s="542" t="str">
        <f>IF(AND('Mapa final'!$P$22="Alta",'Mapa final'!$S$22="Moderado"),CONCATENATE("R",'Mapa final'!$A$22),"")</f>
        <v/>
      </c>
      <c r="AC21" s="542"/>
      <c r="AD21" s="545" t="str">
        <f>IF(AND('Mapa final'!$P$20="Alta",'Mapa final'!$S$20="Mayor"),CONCATENATE("R",'Mapa final'!$A$20),"")</f>
        <v/>
      </c>
      <c r="AE21" s="542"/>
      <c r="AF21" s="542" t="str">
        <f>IF(AND('Mapa final'!$P$21="Alta",'Mapa final'!$S$21="Mayor"),CONCATENATE("R",'Mapa final'!$A$21),"")</f>
        <v/>
      </c>
      <c r="AG21" s="542"/>
      <c r="AH21" s="542" t="str">
        <f>IF(AND('Mapa final'!$P$22="Alta",'Mapa final'!$S$22="Mayor"),CONCATENATE("R",'Mapa final'!$A$22),"")</f>
        <v/>
      </c>
      <c r="AI21" s="542"/>
      <c r="AJ21" s="558" t="str">
        <f>IF(AND('Mapa final'!$P$20="Alta",'Mapa final'!$S$20="Catastrófico"),CONCATENATE("R",'Mapa final'!$A$20),"")</f>
        <v/>
      </c>
      <c r="AK21" s="559"/>
      <c r="AL21" s="559" t="str">
        <f>IF(AND('Mapa final'!$P$21="Alta",'Mapa final'!$S$21="Catastrófico"),CONCATENATE("R",'Mapa final'!$A$21),"")</f>
        <v/>
      </c>
      <c r="AM21" s="559"/>
      <c r="AN21" s="559" t="str">
        <f>IF(AND('Mapa final'!$P$22="Alta",'Mapa final'!$K$22="Catastrófico"),CONCATENATE("R",'Mapa final'!$A$22),"")</f>
        <v/>
      </c>
      <c r="AO21" s="560"/>
      <c r="AP21" s="68"/>
      <c r="AQ21" s="511"/>
      <c r="AR21" s="512"/>
      <c r="AS21" s="512"/>
      <c r="AT21" s="512"/>
      <c r="AU21" s="512"/>
      <c r="AV21" s="513"/>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c r="C22" s="68"/>
      <c r="D22" s="497"/>
      <c r="E22" s="497"/>
      <c r="F22" s="498"/>
      <c r="G22" s="537"/>
      <c r="H22" s="538"/>
      <c r="I22" s="538"/>
      <c r="J22" s="538"/>
      <c r="K22" s="538"/>
      <c r="L22" s="553"/>
      <c r="M22" s="554"/>
      <c r="N22" s="554"/>
      <c r="O22" s="554"/>
      <c r="P22" s="554"/>
      <c r="Q22" s="567"/>
      <c r="R22" s="553"/>
      <c r="S22" s="554"/>
      <c r="T22" s="554"/>
      <c r="U22" s="554"/>
      <c r="V22" s="554"/>
      <c r="W22" s="554"/>
      <c r="X22" s="545"/>
      <c r="Y22" s="542"/>
      <c r="Z22" s="542"/>
      <c r="AA22" s="542"/>
      <c r="AB22" s="542"/>
      <c r="AC22" s="542"/>
      <c r="AD22" s="545"/>
      <c r="AE22" s="542"/>
      <c r="AF22" s="542"/>
      <c r="AG22" s="542"/>
      <c r="AH22" s="542"/>
      <c r="AI22" s="542"/>
      <c r="AJ22" s="558"/>
      <c r="AK22" s="559"/>
      <c r="AL22" s="559"/>
      <c r="AM22" s="559"/>
      <c r="AN22" s="559"/>
      <c r="AO22" s="560"/>
      <c r="AP22" s="68"/>
      <c r="AQ22" s="511"/>
      <c r="AR22" s="512"/>
      <c r="AS22" s="512"/>
      <c r="AT22" s="512"/>
      <c r="AU22" s="512"/>
      <c r="AV22" s="513"/>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c r="C23" s="68"/>
      <c r="D23" s="497"/>
      <c r="E23" s="497"/>
      <c r="F23" s="498"/>
      <c r="G23" s="537"/>
      <c r="H23" s="538"/>
      <c r="I23" s="538"/>
      <c r="J23" s="538"/>
      <c r="K23" s="538"/>
      <c r="L23" s="553" t="str">
        <f>IF(AND('Mapa final'!$P$23="Alta",'Mapa final'!$S$23="Leve"),CONCATENATE("R",'Mapa final'!$A$23),"")</f>
        <v/>
      </c>
      <c r="M23" s="554"/>
      <c r="N23" s="554" t="str">
        <f>IF(AND('Mapa final'!$K$24="Alta",'Mapa final'!$O$24="Leve"),CONCATENATE("R",'Mapa final'!$A$24),"")</f>
        <v/>
      </c>
      <c r="O23" s="554"/>
      <c r="P23" s="554" t="str">
        <f>IF(AND('Mapa final'!$K$33="Alta",'Mapa final'!$O$33="Leve"),CONCATENATE("R",'Mapa final'!$A$33),"")</f>
        <v/>
      </c>
      <c r="Q23" s="567"/>
      <c r="R23" s="553" t="str">
        <f>IF(AND('Mapa final'!$P$23="Alta",'Mapa final'!$S$23="Menor"),CONCATENATE("R",'Mapa final'!$A$23),"")</f>
        <v/>
      </c>
      <c r="S23" s="554"/>
      <c r="T23" s="554" t="str">
        <f>IF(AND('Mapa final'!$LT$24="Alta",'Mapa final'!$S$24="Menor"),CONCATENATE("R",'Mapa final'!$A$24),"")</f>
        <v/>
      </c>
      <c r="U23" s="554"/>
      <c r="V23" s="554" t="str">
        <f>IF(AND('Mapa final'!$P$33="Alta",'Mapa final'!$S$33="Menor"),CONCATENATE("R",'Mapa final'!$A$33),"")</f>
        <v/>
      </c>
      <c r="W23" s="554"/>
      <c r="X23" s="545" t="str">
        <f>IF(AND('Mapa final'!$P$23="Alta",'Mapa final'!$S$23="Moderado"),CONCATENATE("R",'Mapa final'!$A$23),"")</f>
        <v/>
      </c>
      <c r="Y23" s="542"/>
      <c r="Z23" s="542" t="str">
        <f>IF(AND('Mapa final'!$P$24="Alta",'Mapa final'!$S$24="Moderado"),CONCATENATE("R",'Mapa final'!$A$24),"")</f>
        <v/>
      </c>
      <c r="AA23" s="542"/>
      <c r="AB23" s="542" t="str">
        <f>IF(AND('Mapa final'!$P$33="Alta",'Mapa final'!$S$33="Moderado"),CONCATENATE("R",'Mapa final'!$A$33),"")</f>
        <v/>
      </c>
      <c r="AC23" s="542"/>
      <c r="AD23" s="545" t="str">
        <f>IF(AND('Mapa final'!$P$23="Alta",'Mapa final'!$S$23="Mayor"),CONCATENATE("R",'Mapa final'!$A$23),"")</f>
        <v/>
      </c>
      <c r="AE23" s="542"/>
      <c r="AF23" s="542" t="str">
        <f>IF(AND('Mapa final'!$P$24="Alta",'Mapa final'!$S$24="Mayor"),CONCATENATE("R",'Mapa final'!$A$24),"")</f>
        <v/>
      </c>
      <c r="AG23" s="542"/>
      <c r="AH23" s="542" t="str">
        <f>IF(AND('Mapa final'!$P$33="Alta",'Mapa final'!$S$33="Mayor"),CONCATENATE("R",'Mapa final'!$A$33),"")</f>
        <v/>
      </c>
      <c r="AI23" s="542"/>
      <c r="AJ23" s="558" t="str">
        <f>IF(AND('Mapa final'!$P$23="Alta",'Mapa final'!$S$23="Catastrófico"),CONCATENATE("R",'Mapa final'!$A$23),"")</f>
        <v/>
      </c>
      <c r="AK23" s="559"/>
      <c r="AL23" s="559" t="str">
        <f>IF(AND('Mapa final'!$P$24="Alta",'Mapa final'!$S$24="Catastrófico"),CONCATENATE("R",'Mapa final'!$A$24),"")</f>
        <v/>
      </c>
      <c r="AM23" s="559"/>
      <c r="AN23" s="559" t="str">
        <f>IF(AND('Mapa final'!$P$33="Alta",'Mapa final'!$S$33="Catastrófico"),CONCATENATE("R",'Mapa final'!$A$33),"")</f>
        <v/>
      </c>
      <c r="AO23" s="560"/>
      <c r="AP23" s="68"/>
      <c r="AQ23" s="511"/>
      <c r="AR23" s="512"/>
      <c r="AS23" s="512"/>
      <c r="AT23" s="512"/>
      <c r="AU23" s="512"/>
      <c r="AV23" s="513"/>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c r="C24" s="68"/>
      <c r="D24" s="497"/>
      <c r="E24" s="497"/>
      <c r="F24" s="498"/>
      <c r="G24" s="537"/>
      <c r="H24" s="538"/>
      <c r="I24" s="538"/>
      <c r="J24" s="538"/>
      <c r="K24" s="538"/>
      <c r="L24" s="553"/>
      <c r="M24" s="554"/>
      <c r="N24" s="554"/>
      <c r="O24" s="554"/>
      <c r="P24" s="554"/>
      <c r="Q24" s="567"/>
      <c r="R24" s="553"/>
      <c r="S24" s="554"/>
      <c r="T24" s="554"/>
      <c r="U24" s="554"/>
      <c r="V24" s="554"/>
      <c r="W24" s="554"/>
      <c r="X24" s="545"/>
      <c r="Y24" s="542"/>
      <c r="Z24" s="542"/>
      <c r="AA24" s="542"/>
      <c r="AB24" s="542"/>
      <c r="AC24" s="542"/>
      <c r="AD24" s="545"/>
      <c r="AE24" s="542"/>
      <c r="AF24" s="542"/>
      <c r="AG24" s="542"/>
      <c r="AH24" s="542"/>
      <c r="AI24" s="542"/>
      <c r="AJ24" s="558"/>
      <c r="AK24" s="559"/>
      <c r="AL24" s="559"/>
      <c r="AM24" s="559"/>
      <c r="AN24" s="559"/>
      <c r="AO24" s="560"/>
      <c r="AP24" s="68"/>
      <c r="AQ24" s="511"/>
      <c r="AR24" s="512"/>
      <c r="AS24" s="512"/>
      <c r="AT24" s="512"/>
      <c r="AU24" s="512"/>
      <c r="AV24" s="513"/>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c r="C25" s="68"/>
      <c r="D25" s="497"/>
      <c r="E25" s="497"/>
      <c r="F25" s="498"/>
      <c r="G25" s="537"/>
      <c r="H25" s="538"/>
      <c r="I25" s="538"/>
      <c r="J25" s="538"/>
      <c r="K25" s="538"/>
      <c r="L25" s="553" t="str">
        <f>IF(AND('Mapa final'!$P$34="Alta",'Mapa final'!$S$34="Leve"),CONCATENATE("R",'Mapa final'!$A$34),"")</f>
        <v/>
      </c>
      <c r="M25" s="554"/>
      <c r="N25" s="554" t="str">
        <f>IF(AND('Mapa final'!$K$35="Alta",'Mapa final'!$O$35="Leve"),CONCATENATE("R",'Mapa final'!$A$35),"")</f>
        <v/>
      </c>
      <c r="O25" s="554"/>
      <c r="P25" s="554" t="str">
        <f>IF(AND('Mapa final'!$K$36="Alta",'Mapa final'!$O$36="Leve"),CONCATENATE("R",'Mapa final'!$A$36),"")</f>
        <v/>
      </c>
      <c r="Q25" s="567"/>
      <c r="R25" s="553" t="str">
        <f>IF(AND('Mapa final'!$P$34="Alta",'Mapa final'!$S$34="Menor"),CONCATENATE("R",'Mapa final'!$A$34),"")</f>
        <v/>
      </c>
      <c r="S25" s="554"/>
      <c r="T25" s="554" t="str">
        <f>IF(AND('Mapa final'!$P$35="Alta",'Mapa final'!$S$35="Menor"),CONCATENATE("R",'Mapa final'!$A$35),"")</f>
        <v/>
      </c>
      <c r="U25" s="554"/>
      <c r="V25" s="554" t="str">
        <f>IF(AND('Mapa final'!$P$36="Alta",'Mapa final'!$S$36="Menor"),CONCATENATE("R",'Mapa final'!$A$36),"")</f>
        <v/>
      </c>
      <c r="W25" s="554"/>
      <c r="X25" s="545" t="str">
        <f>IF(AND('Mapa final'!$P$34="Alta",'Mapa final'!$S$34="Moderado"),CONCATENATE("R",'Mapa final'!$A$34),"")</f>
        <v/>
      </c>
      <c r="Y25" s="542"/>
      <c r="Z25" s="542" t="str">
        <f>IF(AND('Mapa final'!$P$35="Alta",'Mapa final'!$S$35="Moderado"),CONCATENATE("R",'Mapa final'!$A$35),"")</f>
        <v/>
      </c>
      <c r="AA25" s="542"/>
      <c r="AB25" s="542" t="str">
        <f>IF(AND('Mapa final'!$P$36="Alta",'Mapa final'!$S$36="Moderado"),CONCATENATE("R",'Mapa final'!$A$36),"")</f>
        <v/>
      </c>
      <c r="AC25" s="542"/>
      <c r="AD25" s="545" t="str">
        <f>IF(AND('Mapa final'!$P$34="Alta",'Mapa final'!$S$34="Mayor"),CONCATENATE("R",'Mapa final'!$A$34),"")</f>
        <v/>
      </c>
      <c r="AE25" s="542"/>
      <c r="AF25" s="542" t="str">
        <f>IF(AND('Mapa final'!$P$35="Alta",'Mapa final'!$S$35="Mayor"),CONCATENATE("R",'Mapa final'!$A$35),"")</f>
        <v/>
      </c>
      <c r="AG25" s="542"/>
      <c r="AH25" s="542" t="str">
        <f>IF(AND('Mapa final'!$P$36="Alta",'Mapa final'!$S$36="Mayor"),CONCATENATE("R",'Mapa final'!$A$36),"")</f>
        <v/>
      </c>
      <c r="AI25" s="542"/>
      <c r="AJ25" s="558" t="str">
        <f>IF(AND('Mapa final'!$P$34="Alta",'Mapa final'!$S$34="Catastrófico"),CONCATENATE("R",'Mapa final'!$A$34),"")</f>
        <v/>
      </c>
      <c r="AK25" s="559"/>
      <c r="AL25" s="559" t="str">
        <f>IF(AND('Mapa final'!$P$35="Alta",'Mapa final'!$S$35="Catastrófico"),CONCATENATE("R",'Mapa final'!$A$35),"")</f>
        <v/>
      </c>
      <c r="AM25" s="559"/>
      <c r="AN25" s="559" t="str">
        <f>IF(AND('Mapa final'!$P$36="Alta",'Mapa final'!$S$36="Catastrófico"),CONCATENATE("R",'Mapa final'!$A$36),"")</f>
        <v/>
      </c>
      <c r="AO25" s="560"/>
      <c r="AP25" s="68"/>
      <c r="AQ25" s="511"/>
      <c r="AR25" s="512"/>
      <c r="AS25" s="512"/>
      <c r="AT25" s="512"/>
      <c r="AU25" s="512"/>
      <c r="AV25" s="513"/>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c r="C26" s="68"/>
      <c r="D26" s="497"/>
      <c r="E26" s="497"/>
      <c r="F26" s="498"/>
      <c r="G26" s="539"/>
      <c r="H26" s="540"/>
      <c r="I26" s="540"/>
      <c r="J26" s="540"/>
      <c r="K26" s="540"/>
      <c r="L26" s="568"/>
      <c r="M26" s="569"/>
      <c r="N26" s="569"/>
      <c r="O26" s="569"/>
      <c r="P26" s="569"/>
      <c r="Q26" s="570"/>
      <c r="R26" s="568"/>
      <c r="S26" s="569"/>
      <c r="T26" s="554"/>
      <c r="U26" s="554"/>
      <c r="V26" s="554"/>
      <c r="W26" s="554"/>
      <c r="X26" s="545"/>
      <c r="Y26" s="542"/>
      <c r="Z26" s="542"/>
      <c r="AA26" s="542"/>
      <c r="AB26" s="542"/>
      <c r="AC26" s="542"/>
      <c r="AD26" s="545"/>
      <c r="AE26" s="542"/>
      <c r="AF26" s="542"/>
      <c r="AG26" s="542"/>
      <c r="AH26" s="542"/>
      <c r="AI26" s="542"/>
      <c r="AJ26" s="558"/>
      <c r="AK26" s="559"/>
      <c r="AL26" s="559"/>
      <c r="AM26" s="559"/>
      <c r="AN26" s="559"/>
      <c r="AO26" s="560"/>
      <c r="AP26" s="68"/>
      <c r="AQ26" s="514"/>
      <c r="AR26" s="515"/>
      <c r="AS26" s="515"/>
      <c r="AT26" s="515"/>
      <c r="AU26" s="515"/>
      <c r="AV26" s="516"/>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c r="C27" s="68"/>
      <c r="D27" s="497"/>
      <c r="E27" s="497"/>
      <c r="F27" s="498"/>
      <c r="G27" s="535" t="s">
        <v>372</v>
      </c>
      <c r="H27" s="536"/>
      <c r="I27" s="536"/>
      <c r="J27" s="536"/>
      <c r="K27" s="536"/>
      <c r="L27" s="571"/>
      <c r="M27" s="572"/>
      <c r="N27" s="572" t="str">
        <f>IF(AND('Mapa final'!$K$15="Media",'Mapa final'!$O$15="Leve"),CONCATENATE("R",'Mapa final'!$A$16),"")</f>
        <v/>
      </c>
      <c r="O27" s="572"/>
      <c r="P27" s="572" t="e">
        <f>IF(AND('Mapa final'!#REF!="Media",'Mapa final'!$O$17="Leve"),CONCATENATE("R",'Mapa final'!$A$17),"")</f>
        <v>#REF!</v>
      </c>
      <c r="Q27" s="573"/>
      <c r="R27" s="571"/>
      <c r="S27" s="572"/>
      <c r="T27" s="572" t="str">
        <f>IF(AND('Mapa final'!$P$15="Media",'Mapa final'!$S$15="Menor"),CONCATENATE("R",'Mapa final'!$A$16),"")</f>
        <v/>
      </c>
      <c r="U27" s="572"/>
      <c r="V27" s="572" t="str">
        <f>IF(AND('Mapa final'!$P$17="Media",'Mapa final'!$S$17="Menor"),CONCATENATE("R",'Mapa final'!$A$17),"")</f>
        <v/>
      </c>
      <c r="W27" s="572"/>
      <c r="X27" s="571"/>
      <c r="Y27" s="572"/>
      <c r="Z27" s="572" t="str">
        <f>IF(AND('Mapa final'!P$15="Media",'Mapa final'!$S$15="Moderado"),CONCATENATE("R",'Mapa final'!$A$16),"")</f>
        <v/>
      </c>
      <c r="AA27" s="572"/>
      <c r="AB27" s="572" t="str">
        <f>IF(AND('Mapa final'!$P$17="Media",'Mapa final'!$S$17="Moderado"),CONCATENATE("R",'Mapa final'!$A$17),"")</f>
        <v/>
      </c>
      <c r="AC27" s="572"/>
      <c r="AD27" s="543"/>
      <c r="AE27" s="544"/>
      <c r="AF27" s="544" t="str">
        <f>IF(AND('Mapa final'!$P$15="Media",'Mapa final'!$S$15="Mayor"),CONCATENATE("R",'Mapa final'!$A$16),"")</f>
        <v/>
      </c>
      <c r="AG27" s="544"/>
      <c r="AH27" s="544" t="str">
        <f>IF(AND('Mapa final'!$P$17="Media",'Mapa final'!$S$17="Mayor"),CONCATENATE("R",'Mapa final'!$A$17),"")</f>
        <v/>
      </c>
      <c r="AI27" s="544"/>
      <c r="AJ27" s="561"/>
      <c r="AK27" s="562"/>
      <c r="AL27" s="562" t="str">
        <f>IF(AND('Mapa final'!$P$15="Media",'Mapa final'!$S$15="Catastrófico"),CONCATENATE("R",'Mapa final'!$A$16),"")</f>
        <v/>
      </c>
      <c r="AM27" s="562"/>
      <c r="AN27" s="562" t="str">
        <f>IF(AND('Mapa final'!$P$17="Media",'Mapa final'!$S$17="Catastrófico"),CONCATENATE("R",'Mapa final'!$A$17),"")</f>
        <v/>
      </c>
      <c r="AO27" s="563"/>
      <c r="AP27" s="68"/>
      <c r="AQ27" s="517" t="s">
        <v>202</v>
      </c>
      <c r="AR27" s="518"/>
      <c r="AS27" s="518"/>
      <c r="AT27" s="518"/>
      <c r="AU27" s="518"/>
      <c r="AV27" s="519"/>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c r="C28" s="68"/>
      <c r="D28" s="497"/>
      <c r="E28" s="497"/>
      <c r="F28" s="498"/>
      <c r="G28" s="537"/>
      <c r="H28" s="538"/>
      <c r="I28" s="538"/>
      <c r="J28" s="538"/>
      <c r="K28" s="538"/>
      <c r="L28" s="553"/>
      <c r="M28" s="554"/>
      <c r="N28" s="554"/>
      <c r="O28" s="554"/>
      <c r="P28" s="554"/>
      <c r="Q28" s="567"/>
      <c r="R28" s="553"/>
      <c r="S28" s="554"/>
      <c r="T28" s="554"/>
      <c r="U28" s="554"/>
      <c r="V28" s="554"/>
      <c r="W28" s="554"/>
      <c r="X28" s="553"/>
      <c r="Y28" s="554"/>
      <c r="Z28" s="554"/>
      <c r="AA28" s="554"/>
      <c r="AB28" s="554"/>
      <c r="AC28" s="554"/>
      <c r="AD28" s="545"/>
      <c r="AE28" s="542"/>
      <c r="AF28" s="542"/>
      <c r="AG28" s="542"/>
      <c r="AH28" s="542"/>
      <c r="AI28" s="542"/>
      <c r="AJ28" s="558"/>
      <c r="AK28" s="559"/>
      <c r="AL28" s="559"/>
      <c r="AM28" s="559"/>
      <c r="AN28" s="559"/>
      <c r="AO28" s="560"/>
      <c r="AP28" s="68"/>
      <c r="AQ28" s="520"/>
      <c r="AR28" s="521"/>
      <c r="AS28" s="521"/>
      <c r="AT28" s="521"/>
      <c r="AU28" s="521"/>
      <c r="AV28" s="522"/>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c r="C29" s="68"/>
      <c r="D29" s="497"/>
      <c r="E29" s="497"/>
      <c r="F29" s="498"/>
      <c r="G29" s="537"/>
      <c r="H29" s="538"/>
      <c r="I29" s="538"/>
      <c r="J29" s="538"/>
      <c r="K29" s="538"/>
      <c r="L29" s="553" t="str">
        <f>IF(AND('Mapa final'!$P$20="Media",'Mapa final'!$S$20="Leve"),CONCATENATE("R",'Mapa final'!$A$20),"")</f>
        <v/>
      </c>
      <c r="M29" s="554"/>
      <c r="N29" s="554" t="str">
        <f>IF(AND('Mapa final'!$K$21="Media",'Mapa final'!$O$21="Leve"),CONCATENATE("R",'Mapa final'!$A$21),"")</f>
        <v/>
      </c>
      <c r="O29" s="554"/>
      <c r="P29" s="554" t="str">
        <f>IF(AND('Mapa final'!$K$22="Media",'Mapa final'!$O$22="Leve"),CONCATENATE("R",'Mapa final'!$A$22),"")</f>
        <v/>
      </c>
      <c r="Q29" s="567"/>
      <c r="R29" s="553" t="str">
        <f>IF(AND('Mapa final'!$P$20="Media",'Mapa final'!$S$20="Menor"),CONCATENATE("R",'Mapa final'!$A$20),"")</f>
        <v/>
      </c>
      <c r="S29" s="554"/>
      <c r="T29" s="554" t="str">
        <f>IF(AND('Mapa final'!$P$21="Media",'Mapa final'!$S$21="Menor"),CONCATENATE("R",'Mapa final'!$A$21),"")</f>
        <v/>
      </c>
      <c r="U29" s="554"/>
      <c r="V29" s="554" t="str">
        <f>IF(AND('Mapa final'!$P$22="Media",'Mapa final'!$S$22="Menor"),CONCATENATE("R",'Mapa final'!$A$22),"")</f>
        <v/>
      </c>
      <c r="W29" s="554"/>
      <c r="X29" s="553" t="str">
        <f>IF(AND('Mapa final'!$P$20="Media",'Mapa final'!$S$20="Moderado"),CONCATENATE("R",'Mapa final'!$A$20),"")</f>
        <v/>
      </c>
      <c r="Y29" s="554"/>
      <c r="Z29" s="554" t="str">
        <f>IF(AND('Mapa final'!$P$21="Media",'Mapa final'!$S$21="Moderado"),CONCATENATE("R",'Mapa final'!$A$21),"")</f>
        <v/>
      </c>
      <c r="AA29" s="554"/>
      <c r="AB29" s="554" t="str">
        <f>IF(AND('Mapa final'!$P$22="Media",'Mapa final'!$S$22="Moderado"),CONCATENATE("R",'Mapa final'!$A$22),"")</f>
        <v/>
      </c>
      <c r="AC29" s="554"/>
      <c r="AD29" s="545" t="str">
        <f>IF(AND('Mapa final'!$P$20="Media",'Mapa final'!$S$20="Mayor"),CONCATENATE("R",'Mapa final'!$A$20),"")</f>
        <v/>
      </c>
      <c r="AE29" s="542"/>
      <c r="AF29" s="542" t="str">
        <f>IF(AND('Mapa final'!$P$21="Media",'Mapa final'!$S$21="Mayor"),CONCATENATE("R",'Mapa final'!$A$21),"")</f>
        <v/>
      </c>
      <c r="AG29" s="542"/>
      <c r="AH29" s="542" t="str">
        <f>IF(AND('Mapa final'!$P$22="Media",'Mapa final'!$S$22="Mayor"),CONCATENATE("R",'Mapa final'!$A$22),"")</f>
        <v/>
      </c>
      <c r="AI29" s="542"/>
      <c r="AJ29" s="558" t="str">
        <f>IF(AND('Mapa final'!$P$20="Media",'Mapa final'!$S$20="Catastrófico"),CONCATENATE("R",'Mapa final'!$A$20),"")</f>
        <v/>
      </c>
      <c r="AK29" s="559"/>
      <c r="AL29" s="559" t="str">
        <f>IF(AND('Mapa final'!$P$21="Media",'Mapa final'!$S$21="Catastrófico"),CONCATENATE("R",'Mapa final'!$A$21),"")</f>
        <v/>
      </c>
      <c r="AM29" s="559"/>
      <c r="AN29" s="559" t="str">
        <f>IF(AND('Mapa final'!$P$22="Media",'Mapa final'!$K$22="Catastrófico"),CONCATENATE("R",'Mapa final'!$A$22),"")</f>
        <v/>
      </c>
      <c r="AO29" s="560"/>
      <c r="AP29" s="68"/>
      <c r="AQ29" s="520"/>
      <c r="AR29" s="521"/>
      <c r="AS29" s="521"/>
      <c r="AT29" s="521"/>
      <c r="AU29" s="521"/>
      <c r="AV29" s="522"/>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c r="C30" s="68"/>
      <c r="D30" s="497"/>
      <c r="E30" s="497"/>
      <c r="F30" s="498"/>
      <c r="G30" s="537"/>
      <c r="H30" s="538"/>
      <c r="I30" s="538"/>
      <c r="J30" s="538"/>
      <c r="K30" s="538"/>
      <c r="L30" s="553"/>
      <c r="M30" s="554"/>
      <c r="N30" s="554"/>
      <c r="O30" s="554"/>
      <c r="P30" s="554"/>
      <c r="Q30" s="567"/>
      <c r="R30" s="553"/>
      <c r="S30" s="554"/>
      <c r="T30" s="554"/>
      <c r="U30" s="554"/>
      <c r="V30" s="554"/>
      <c r="W30" s="554"/>
      <c r="X30" s="553"/>
      <c r="Y30" s="554"/>
      <c r="Z30" s="554"/>
      <c r="AA30" s="554"/>
      <c r="AB30" s="554"/>
      <c r="AC30" s="554"/>
      <c r="AD30" s="545"/>
      <c r="AE30" s="542"/>
      <c r="AF30" s="542"/>
      <c r="AG30" s="542"/>
      <c r="AH30" s="542"/>
      <c r="AI30" s="542"/>
      <c r="AJ30" s="558"/>
      <c r="AK30" s="559"/>
      <c r="AL30" s="559"/>
      <c r="AM30" s="559"/>
      <c r="AN30" s="559"/>
      <c r="AO30" s="560"/>
      <c r="AP30" s="68"/>
      <c r="AQ30" s="520"/>
      <c r="AR30" s="521"/>
      <c r="AS30" s="521"/>
      <c r="AT30" s="521"/>
      <c r="AU30" s="521"/>
      <c r="AV30" s="522"/>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c r="C31" s="68"/>
      <c r="D31" s="497"/>
      <c r="E31" s="497"/>
      <c r="F31" s="498"/>
      <c r="G31" s="537"/>
      <c r="H31" s="538"/>
      <c r="I31" s="538"/>
      <c r="J31" s="538"/>
      <c r="K31" s="538"/>
      <c r="L31" s="553" t="str">
        <f>IF(AND('Mapa final'!$P$23="Media",'Mapa final'!$S$23="Leve"),CONCATENATE("R",'Mapa final'!$A$23),"")</f>
        <v/>
      </c>
      <c r="M31" s="554"/>
      <c r="N31" s="554" t="str">
        <f>IF(AND('Mapa final'!$K$24="Media",'Mapa final'!$O$24="Leve"),CONCATENATE("R",'Mapa final'!$A$24),"")</f>
        <v/>
      </c>
      <c r="O31" s="554"/>
      <c r="P31" s="554" t="str">
        <f>IF(AND('Mapa final'!$K$33="Media",'Mapa final'!$O$33="Leve"),CONCATENATE("R",'Mapa final'!$A$33),"")</f>
        <v/>
      </c>
      <c r="Q31" s="567"/>
      <c r="R31" s="553" t="str">
        <f>IF(AND('Mapa final'!$P$23="Media",'Mapa final'!$S$23="Menor"),CONCATENATE("R",'Mapa final'!$A$23),"")</f>
        <v/>
      </c>
      <c r="S31" s="554"/>
      <c r="T31" s="554" t="str">
        <f>IF(AND('Mapa final'!$LT$24="Media",'Mapa final'!$S$24="Menor"),CONCATENATE("R",'Mapa final'!$A$24),"")</f>
        <v/>
      </c>
      <c r="U31" s="554"/>
      <c r="V31" s="554" t="str">
        <f>IF(AND('Mapa final'!$P$33="Media",'Mapa final'!$S$33="Menor"),CONCATENATE("R",'Mapa final'!$A$33),"")</f>
        <v/>
      </c>
      <c r="W31" s="554"/>
      <c r="X31" s="553" t="str">
        <f>IF(AND('Mapa final'!$P$23="Media",'Mapa final'!$S$23="Moderado"),CONCATENATE("R",'Mapa final'!$A$23),"")</f>
        <v/>
      </c>
      <c r="Y31" s="554"/>
      <c r="Z31" s="554" t="str">
        <f>IF(AND('Mapa final'!$P$24="Media",'Mapa final'!$S$24="Moderado"),CONCATENATE("R",'Mapa final'!$A$24),"")</f>
        <v/>
      </c>
      <c r="AA31" s="554"/>
      <c r="AB31" s="554" t="str">
        <f>IF(AND('Mapa final'!$P$33="Media",'Mapa final'!$S$33="Moderado"),CONCATENATE("R",'Mapa final'!$A$33),"")</f>
        <v/>
      </c>
      <c r="AC31" s="554"/>
      <c r="AD31" s="545" t="str">
        <f>IF(AND('Mapa final'!$P$23="Media",'Mapa final'!$S$23="Mayor"),CONCATENATE("R",'Mapa final'!$A$23),"")</f>
        <v/>
      </c>
      <c r="AE31" s="542"/>
      <c r="AF31" s="542" t="str">
        <f>IF(AND('Mapa final'!$P$24="Media",'Mapa final'!$S$24="Mayor"),CONCATENATE("R",'Mapa final'!$A$24),"")</f>
        <v/>
      </c>
      <c r="AG31" s="542"/>
      <c r="AH31" s="542" t="str">
        <f>IF(AND('Mapa final'!$P$33="Media",'Mapa final'!$S$33="Mayor"),CONCATENATE("R",'Mapa final'!$A$33),"")</f>
        <v/>
      </c>
      <c r="AI31" s="542"/>
      <c r="AJ31" s="558" t="str">
        <f>IF(AND('Mapa final'!$P$23="Media",'Mapa final'!$S$23="Catastrófico"),CONCATENATE("R",'Mapa final'!$A$23),"")</f>
        <v/>
      </c>
      <c r="AK31" s="559"/>
      <c r="AL31" s="559" t="str">
        <f>IF(AND('Mapa final'!$P$24="Media",'Mapa final'!$S$24="Catastrófico"),CONCATENATE("R",'Mapa final'!$A$24),"")</f>
        <v/>
      </c>
      <c r="AM31" s="559"/>
      <c r="AN31" s="559" t="str">
        <f>IF(AND('Mapa final'!$P$33="Media",'Mapa final'!$S$33="Catastrófico"),CONCATENATE("R",'Mapa final'!$A$33),"")</f>
        <v/>
      </c>
      <c r="AO31" s="560"/>
      <c r="AP31" s="68"/>
      <c r="AQ31" s="520"/>
      <c r="AR31" s="521"/>
      <c r="AS31" s="521"/>
      <c r="AT31" s="521"/>
      <c r="AU31" s="521"/>
      <c r="AV31" s="522"/>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c r="C32" s="68"/>
      <c r="D32" s="497"/>
      <c r="E32" s="497"/>
      <c r="F32" s="498"/>
      <c r="G32" s="537"/>
      <c r="H32" s="538"/>
      <c r="I32" s="538"/>
      <c r="J32" s="538"/>
      <c r="K32" s="538"/>
      <c r="L32" s="553"/>
      <c r="M32" s="554"/>
      <c r="N32" s="554"/>
      <c r="O32" s="554"/>
      <c r="P32" s="554"/>
      <c r="Q32" s="567"/>
      <c r="R32" s="553"/>
      <c r="S32" s="554"/>
      <c r="T32" s="554"/>
      <c r="U32" s="554"/>
      <c r="V32" s="554"/>
      <c r="W32" s="554"/>
      <c r="X32" s="553"/>
      <c r="Y32" s="554"/>
      <c r="Z32" s="554"/>
      <c r="AA32" s="554"/>
      <c r="AB32" s="554"/>
      <c r="AC32" s="554"/>
      <c r="AD32" s="545"/>
      <c r="AE32" s="542"/>
      <c r="AF32" s="542"/>
      <c r="AG32" s="542"/>
      <c r="AH32" s="542"/>
      <c r="AI32" s="542"/>
      <c r="AJ32" s="558"/>
      <c r="AK32" s="559"/>
      <c r="AL32" s="559"/>
      <c r="AM32" s="559"/>
      <c r="AN32" s="559"/>
      <c r="AO32" s="560"/>
      <c r="AP32" s="68"/>
      <c r="AQ32" s="520"/>
      <c r="AR32" s="521"/>
      <c r="AS32" s="521"/>
      <c r="AT32" s="521"/>
      <c r="AU32" s="521"/>
      <c r="AV32" s="522"/>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c r="C33" s="68"/>
      <c r="D33" s="497"/>
      <c r="E33" s="497"/>
      <c r="F33" s="498"/>
      <c r="G33" s="537"/>
      <c r="H33" s="538"/>
      <c r="I33" s="538"/>
      <c r="J33" s="538"/>
      <c r="K33" s="538"/>
      <c r="L33" s="553" t="str">
        <f>IF(AND('Mapa final'!$P$34="Mediaa",'Mapa final'!$S$34="Leve"),CONCATENATE("R",'Mapa final'!$A$34),"")</f>
        <v/>
      </c>
      <c r="M33" s="554"/>
      <c r="N33" s="554" t="str">
        <f>IF(AND('Mapa final'!$K$35="Media",'Mapa final'!$O$35="Leve"),CONCATENATE("R",'Mapa final'!$A$35),"")</f>
        <v/>
      </c>
      <c r="O33" s="554"/>
      <c r="P33" s="554" t="str">
        <f>IF(AND('Mapa final'!$K$36="Media",'Mapa final'!$O$36="Leve"),CONCATENATE("R",'Mapa final'!$A$36),"")</f>
        <v/>
      </c>
      <c r="Q33" s="567"/>
      <c r="R33" s="553" t="str">
        <f>IF(AND('Mapa final'!$P$34="Media",'Mapa final'!$S$34="Menor"),CONCATENATE("R",'Mapa final'!$A$34),"")</f>
        <v/>
      </c>
      <c r="S33" s="554"/>
      <c r="T33" s="554" t="str">
        <f>IF(AND('Mapa final'!$P$35="Media",'Mapa final'!$S$35="Menor"),CONCATENATE("R",'Mapa final'!$A$35),"")</f>
        <v/>
      </c>
      <c r="U33" s="554"/>
      <c r="V33" s="554" t="str">
        <f>IF(AND('Mapa final'!$P$36="Media",'Mapa final'!$S$36="Menor"),CONCATENATE("R",'Mapa final'!$A$36),"")</f>
        <v/>
      </c>
      <c r="W33" s="554"/>
      <c r="X33" s="553" t="str">
        <f>IF(AND('Mapa final'!$P$34="Media",'Mapa final'!$S$34="Moderado"),CONCATENATE("R",'Mapa final'!$A$34),"")</f>
        <v/>
      </c>
      <c r="Y33" s="554"/>
      <c r="Z33" s="554" t="str">
        <f>IF(AND('Mapa final'!$P$35="Media",'Mapa final'!$S$35="Moderado"),CONCATENATE("R",'Mapa final'!$A$35),"")</f>
        <v/>
      </c>
      <c r="AA33" s="554"/>
      <c r="AB33" s="554" t="str">
        <f>IF(AND('Mapa final'!$P$36="Media",'Mapa final'!$S$36="Moderado"),CONCATENATE("R",'Mapa final'!$A$36),"")</f>
        <v/>
      </c>
      <c r="AC33" s="554"/>
      <c r="AD33" s="545" t="str">
        <f>IF(AND('Mapa final'!$P$34="Media",'Mapa final'!$S$34="Mayor"),CONCATENATE("R",'Mapa final'!$A$34),"")</f>
        <v/>
      </c>
      <c r="AE33" s="542"/>
      <c r="AF33" s="542" t="str">
        <f>IF(AND('Mapa final'!$P$35="Media",'Mapa final'!$S$35="Mayor"),CONCATENATE("R",'Mapa final'!$A$35),"")</f>
        <v/>
      </c>
      <c r="AG33" s="542"/>
      <c r="AH33" s="542" t="str">
        <f>IF(AND('Mapa final'!$P$36="Media",'Mapa final'!$S$36="Mayor"),CONCATENATE("R",'Mapa final'!$A$36),"")</f>
        <v/>
      </c>
      <c r="AI33" s="542"/>
      <c r="AJ33" s="558" t="str">
        <f>IF(AND('Mapa final'!$P$34="Media",'Mapa final'!$S$34="Catastrófico"),CONCATENATE("R",'Mapa final'!$A$34),"")</f>
        <v/>
      </c>
      <c r="AK33" s="559"/>
      <c r="AL33" s="559" t="str">
        <f>IF(AND('Mapa final'!$P$35="Media",'Mapa final'!$S$35="Catastrófico"),CONCATENATE("R",'Mapa final'!$A$35),"")</f>
        <v/>
      </c>
      <c r="AM33" s="559"/>
      <c r="AN33" s="559" t="str">
        <f>IF(AND('Mapa final'!$P$36="Media",'Mapa final'!$S$36="Catastrófico"),CONCATENATE("R",'Mapa final'!$A$36),"")</f>
        <v/>
      </c>
      <c r="AO33" s="560"/>
      <c r="AP33" s="68"/>
      <c r="AQ33" s="520"/>
      <c r="AR33" s="521"/>
      <c r="AS33" s="521"/>
      <c r="AT33" s="521"/>
      <c r="AU33" s="521"/>
      <c r="AV33" s="522"/>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c r="C34" s="68"/>
      <c r="D34" s="497"/>
      <c r="E34" s="497"/>
      <c r="F34" s="498"/>
      <c r="G34" s="539"/>
      <c r="H34" s="540"/>
      <c r="I34" s="540"/>
      <c r="J34" s="540"/>
      <c r="K34" s="540"/>
      <c r="L34" s="568"/>
      <c r="M34" s="569"/>
      <c r="N34" s="569"/>
      <c r="O34" s="569"/>
      <c r="P34" s="569"/>
      <c r="Q34" s="570"/>
      <c r="R34" s="568"/>
      <c r="S34" s="569"/>
      <c r="T34" s="569"/>
      <c r="U34" s="569"/>
      <c r="V34" s="569"/>
      <c r="W34" s="569"/>
      <c r="X34" s="568"/>
      <c r="Y34" s="569"/>
      <c r="Z34" s="569"/>
      <c r="AA34" s="569"/>
      <c r="AB34" s="569"/>
      <c r="AC34" s="569"/>
      <c r="AD34" s="556"/>
      <c r="AE34" s="551"/>
      <c r="AF34" s="551"/>
      <c r="AG34" s="551"/>
      <c r="AH34" s="551"/>
      <c r="AI34" s="551"/>
      <c r="AJ34" s="558"/>
      <c r="AK34" s="559"/>
      <c r="AL34" s="559"/>
      <c r="AM34" s="559"/>
      <c r="AN34" s="559"/>
      <c r="AO34" s="560"/>
      <c r="AP34" s="68"/>
      <c r="AQ34" s="523"/>
      <c r="AR34" s="524"/>
      <c r="AS34" s="524"/>
      <c r="AT34" s="524"/>
      <c r="AU34" s="524"/>
      <c r="AV34" s="525"/>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c r="C35" s="68"/>
      <c r="D35" s="497"/>
      <c r="E35" s="497"/>
      <c r="F35" s="498"/>
      <c r="G35" s="535" t="s">
        <v>373</v>
      </c>
      <c r="H35" s="536"/>
      <c r="I35" s="536"/>
      <c r="J35" s="536"/>
      <c r="K35" s="536"/>
      <c r="L35" s="580"/>
      <c r="M35" s="581"/>
      <c r="N35" s="581" t="str">
        <f>IF(AND('Mapa final'!$K$15="Baja",'Mapa final'!$O$15="Leve"),CONCATENATE("R",'Mapa final'!$A$16),"")</f>
        <v/>
      </c>
      <c r="O35" s="581"/>
      <c r="P35" s="581" t="e">
        <f>IF(AND('Mapa final'!#REF!="Baja",'Mapa final'!$O$17="Leve"),CONCATENATE("R",'Mapa final'!$A$17),"")</f>
        <v>#REF!</v>
      </c>
      <c r="Q35" s="582"/>
      <c r="R35" s="571"/>
      <c r="S35" s="572"/>
      <c r="T35" s="554" t="str">
        <f>IF(AND('Mapa final'!$P$15="Baja",'Mapa final'!$S$15="Menor"),CONCATENATE("R",'Mapa final'!$A$16),"")</f>
        <v/>
      </c>
      <c r="U35" s="554"/>
      <c r="V35" s="554" t="str">
        <f>IF(AND('Mapa final'!$P$17="Baja",'Mapa final'!$S$17="Menor"),CONCATENATE("R",'Mapa final'!$A$17),"")</f>
        <v/>
      </c>
      <c r="W35" s="567"/>
      <c r="X35" s="553"/>
      <c r="Y35" s="554"/>
      <c r="Z35" s="554" t="str">
        <f>IF(AND('Mapa final'!P$15="Baja",'Mapa final'!$S$15="Moderado"),CONCATENATE("R",'Mapa final'!$A$16),"")</f>
        <v/>
      </c>
      <c r="AA35" s="554"/>
      <c r="AB35" s="554" t="str">
        <f>IF(AND('Mapa final'!$P$17="Baja",'Mapa final'!$S$17="Moderado"),CONCATENATE("R",'Mapa final'!$A$17),"")</f>
        <v/>
      </c>
      <c r="AC35" s="567"/>
      <c r="AD35" s="545"/>
      <c r="AE35" s="542"/>
      <c r="AF35" s="542" t="str">
        <f>IF(AND('Mapa final'!$P$15="Baja",'Mapa final'!$S$15="Mayor"),CONCATENATE("R",'Mapa final'!$A$16),"")</f>
        <v/>
      </c>
      <c r="AG35" s="542"/>
      <c r="AH35" s="542" t="str">
        <f>IF(AND('Mapa final'!$P$17="Baja",'Mapa final'!$S$17="Mayor"),CONCATENATE("R",'Mapa final'!$A$17),"")</f>
        <v/>
      </c>
      <c r="AI35" s="542"/>
      <c r="AJ35" s="561"/>
      <c r="AK35" s="562"/>
      <c r="AL35" s="562" t="str">
        <f>IF(AND('Mapa final'!$P$15="Baja",'Mapa final'!$S$15="Catastrófico"),CONCATENATE("R",'Mapa final'!$A$16),"")</f>
        <v/>
      </c>
      <c r="AM35" s="562"/>
      <c r="AN35" s="562" t="str">
        <f>IF(AND('Mapa final'!$P$17="Baja",'Mapa final'!$S$17="Catastrófico"),CONCATENATE("R",'Mapa final'!$A$17),"")</f>
        <v/>
      </c>
      <c r="AO35" s="563"/>
      <c r="AP35" s="68"/>
      <c r="AQ35" s="526" t="s">
        <v>374</v>
      </c>
      <c r="AR35" s="527"/>
      <c r="AS35" s="527"/>
      <c r="AT35" s="527"/>
      <c r="AU35" s="527"/>
      <c r="AV35" s="52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c r="C36" s="68"/>
      <c r="D36" s="497"/>
      <c r="E36" s="497"/>
      <c r="F36" s="498"/>
      <c r="G36" s="537"/>
      <c r="H36" s="538"/>
      <c r="I36" s="538"/>
      <c r="J36" s="538"/>
      <c r="K36" s="538"/>
      <c r="L36" s="576"/>
      <c r="M36" s="574"/>
      <c r="N36" s="574"/>
      <c r="O36" s="574"/>
      <c r="P36" s="574"/>
      <c r="Q36" s="575"/>
      <c r="R36" s="553"/>
      <c r="S36" s="554"/>
      <c r="T36" s="554"/>
      <c r="U36" s="554"/>
      <c r="V36" s="554"/>
      <c r="W36" s="567"/>
      <c r="X36" s="553"/>
      <c r="Y36" s="554"/>
      <c r="Z36" s="554"/>
      <c r="AA36" s="554"/>
      <c r="AB36" s="554"/>
      <c r="AC36" s="567"/>
      <c r="AD36" s="545"/>
      <c r="AE36" s="542"/>
      <c r="AF36" s="542"/>
      <c r="AG36" s="542"/>
      <c r="AH36" s="542"/>
      <c r="AI36" s="542"/>
      <c r="AJ36" s="558"/>
      <c r="AK36" s="559"/>
      <c r="AL36" s="559"/>
      <c r="AM36" s="559"/>
      <c r="AN36" s="559"/>
      <c r="AO36" s="560"/>
      <c r="AP36" s="68"/>
      <c r="AQ36" s="529"/>
      <c r="AR36" s="530"/>
      <c r="AS36" s="530"/>
      <c r="AT36" s="530"/>
      <c r="AU36" s="530"/>
      <c r="AV36" s="531"/>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c r="C37" s="68"/>
      <c r="D37" s="497"/>
      <c r="E37" s="497"/>
      <c r="F37" s="498"/>
      <c r="G37" s="537"/>
      <c r="H37" s="538"/>
      <c r="I37" s="538"/>
      <c r="J37" s="538"/>
      <c r="K37" s="538"/>
      <c r="L37" s="576" t="str">
        <f>IF(AND('Mapa final'!$P$20="Baja",'Mapa final'!$S$20="Leve"),CONCATENATE("R",'Mapa final'!$A$20),"")</f>
        <v/>
      </c>
      <c r="M37" s="574"/>
      <c r="N37" s="574" t="str">
        <f>IF(AND('Mapa final'!$K$21="Baja",'Mapa final'!$O$21="Leve"),CONCATENATE("R",'Mapa final'!$A$21),"")</f>
        <v/>
      </c>
      <c r="O37" s="574"/>
      <c r="P37" s="574" t="str">
        <f>IF(AND('Mapa final'!$K$22="Baja",'Mapa final'!$O$22="Leve"),CONCATENATE("R",'Mapa final'!$A$22),"")</f>
        <v/>
      </c>
      <c r="Q37" s="575"/>
      <c r="R37" s="553" t="str">
        <f>IF(AND('Mapa final'!$P$20="Baja",'Mapa final'!$S$20="Menor"),CONCATENATE("R",'Mapa final'!$A$20),"")</f>
        <v/>
      </c>
      <c r="S37" s="554"/>
      <c r="T37" s="554" t="str">
        <f>IF(AND('Mapa final'!$P$21="Baja",'Mapa final'!$S$21="Menor"),CONCATENATE("R",'Mapa final'!$A$21),"")</f>
        <v/>
      </c>
      <c r="U37" s="554"/>
      <c r="V37" s="554" t="str">
        <f>IF(AND('Mapa final'!$P$22="Baja",'Mapa final'!$S$22="Menor"),CONCATENATE("R",'Mapa final'!$A$22),"")</f>
        <v/>
      </c>
      <c r="W37" s="567"/>
      <c r="X37" s="553" t="str">
        <f>IF(AND('Mapa final'!$P$20="Baja",'Mapa final'!$S$20="Moderado"),CONCATENATE("R",'Mapa final'!$D$19),"")</f>
        <v/>
      </c>
      <c r="Y37" s="554"/>
      <c r="Z37" s="554" t="str">
        <f>IF(AND('Mapa final'!$P$21="Baja",'Mapa final'!$S$21="Moderado"),CONCATENATE("R",'Mapa final'!$A$21),"")</f>
        <v/>
      </c>
      <c r="AA37" s="554"/>
      <c r="AB37" s="554" t="str">
        <f>IF(AND('Mapa final'!$P$22="Baja",'Mapa final'!$S$22="Moderado"),CONCATENATE("R",'Mapa final'!$A$22),"")</f>
        <v/>
      </c>
      <c r="AC37" s="567"/>
      <c r="AD37" s="545" t="str">
        <f>IF(AND('Mapa final'!$P$20="Baja",'Mapa final'!$S$20="Mayor"),CONCATENATE("R",'Mapa final'!$A$20),"")</f>
        <v/>
      </c>
      <c r="AE37" s="542"/>
      <c r="AF37" s="542" t="str">
        <f>IF(AND('Mapa final'!$P$21="Baja",'Mapa final'!$S$21="Mayor"),CONCATENATE("R",'Mapa final'!$A$21),"")</f>
        <v/>
      </c>
      <c r="AG37" s="542"/>
      <c r="AH37" s="542" t="str">
        <f>IF(AND('Mapa final'!$P$22="Baja",'Mapa final'!$S$22="Mayor"),CONCATENATE("R",'Mapa final'!$A$22),"")</f>
        <v/>
      </c>
      <c r="AI37" s="542"/>
      <c r="AJ37" s="558" t="str">
        <f>IF(AND('Mapa final'!$P$20="Baja",'Mapa final'!$S$20="Catastrófico"),CONCATENATE("R",'Mapa final'!$A$20),"")</f>
        <v/>
      </c>
      <c r="AK37" s="559"/>
      <c r="AL37" s="559" t="str">
        <f>IF(AND('Mapa final'!$P$21="Baja",'Mapa final'!$S$21="Catastrófico"),CONCATENATE("R",'Mapa final'!$A$21),"")</f>
        <v/>
      </c>
      <c r="AM37" s="559"/>
      <c r="AN37" s="559" t="str">
        <f>IF(AND('Mapa final'!$P$22="Baja",'Mapa final'!$K$22="Catastrófico"),CONCATENATE("R",'Mapa final'!$A$22),"")</f>
        <v/>
      </c>
      <c r="AO37" s="560"/>
      <c r="AP37" s="68"/>
      <c r="AQ37" s="529"/>
      <c r="AR37" s="530"/>
      <c r="AS37" s="530"/>
      <c r="AT37" s="530"/>
      <c r="AU37" s="530"/>
      <c r="AV37" s="531"/>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c r="C38" s="68"/>
      <c r="D38" s="497"/>
      <c r="E38" s="497"/>
      <c r="F38" s="498"/>
      <c r="G38" s="537"/>
      <c r="H38" s="538"/>
      <c r="I38" s="538"/>
      <c r="J38" s="538"/>
      <c r="K38" s="538"/>
      <c r="L38" s="576"/>
      <c r="M38" s="574"/>
      <c r="N38" s="574"/>
      <c r="O38" s="574"/>
      <c r="P38" s="574"/>
      <c r="Q38" s="575"/>
      <c r="R38" s="553"/>
      <c r="S38" s="554"/>
      <c r="T38" s="554"/>
      <c r="U38" s="554"/>
      <c r="V38" s="554"/>
      <c r="W38" s="567"/>
      <c r="X38" s="553"/>
      <c r="Y38" s="554"/>
      <c r="Z38" s="554"/>
      <c r="AA38" s="554"/>
      <c r="AB38" s="554"/>
      <c r="AC38" s="567"/>
      <c r="AD38" s="545"/>
      <c r="AE38" s="542"/>
      <c r="AF38" s="542"/>
      <c r="AG38" s="542"/>
      <c r="AH38" s="542"/>
      <c r="AI38" s="542"/>
      <c r="AJ38" s="558"/>
      <c r="AK38" s="559"/>
      <c r="AL38" s="559"/>
      <c r="AM38" s="559"/>
      <c r="AN38" s="559"/>
      <c r="AO38" s="560"/>
      <c r="AP38" s="68"/>
      <c r="AQ38" s="529"/>
      <c r="AR38" s="530"/>
      <c r="AS38" s="530"/>
      <c r="AT38" s="530"/>
      <c r="AU38" s="530"/>
      <c r="AV38" s="531"/>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c r="C39" s="68"/>
      <c r="D39" s="497"/>
      <c r="E39" s="497"/>
      <c r="F39" s="498"/>
      <c r="G39" s="537"/>
      <c r="H39" s="538"/>
      <c r="I39" s="538"/>
      <c r="J39" s="538"/>
      <c r="K39" s="538"/>
      <c r="L39" s="576" t="str">
        <f>IF(AND('Mapa final'!$P$23="Baja",'Mapa final'!$S$23="Leve"),CONCATENATE("R",'Mapa final'!$A$23),"")</f>
        <v/>
      </c>
      <c r="M39" s="574"/>
      <c r="N39" s="574" t="str">
        <f>IF(AND('Mapa final'!$K$24="Baja",'Mapa final'!$O$24="Leve"),CONCATENATE("R",'Mapa final'!$A$24),"")</f>
        <v/>
      </c>
      <c r="O39" s="574"/>
      <c r="P39" s="574" t="str">
        <f>IF(AND('Mapa final'!$K$33="Baja",'Mapa final'!$O$33="Leve"),CONCATENATE("R",'Mapa final'!$A$33),"")</f>
        <v/>
      </c>
      <c r="Q39" s="575"/>
      <c r="R39" s="553" t="str">
        <f>IF(AND('Mapa final'!$P$23="Baja",'Mapa final'!$S$23="Menor"),CONCATENATE("R",'Mapa final'!$A$23),"")</f>
        <v/>
      </c>
      <c r="S39" s="554"/>
      <c r="T39" s="554" t="str">
        <f>IF(AND('Mapa final'!$LT$24="Baja",'Mapa final'!$S$24="Menor"),CONCATENATE("R",'Mapa final'!$A$24),"")</f>
        <v/>
      </c>
      <c r="U39" s="554"/>
      <c r="V39" s="554" t="str">
        <f>IF(AND('Mapa final'!$P$33="Baja",'Mapa final'!$S$33="Menor"),CONCATENATE("R",'Mapa final'!$A$33),"")</f>
        <v/>
      </c>
      <c r="W39" s="567"/>
      <c r="X39" s="553" t="str">
        <f>IF(AND('Mapa final'!$P$23="Baja",'Mapa final'!$S$23="Moderado"),CONCATENATE("R",'Mapa final'!$A$23),"")</f>
        <v/>
      </c>
      <c r="Y39" s="554"/>
      <c r="Z39" s="554" t="str">
        <f>IF(AND('Mapa final'!$P$24="Baja",'Mapa final'!$S$24="Moderado"),CONCATENATE("R",'Mapa final'!$A$24),"")</f>
        <v/>
      </c>
      <c r="AA39" s="554"/>
      <c r="AB39" s="554" t="str">
        <f>IF(AND('Mapa final'!$P$33="Baja",'Mapa final'!$S$33="Moderado"),CONCATENATE("R",'Mapa final'!$A$33),"")</f>
        <v/>
      </c>
      <c r="AC39" s="567"/>
      <c r="AD39" s="545" t="str">
        <f>IF(AND('Mapa final'!$P$23="Baja",'Mapa final'!$S$23="Mayor"),CONCATENATE("R",'Mapa final'!$A$23),"")</f>
        <v/>
      </c>
      <c r="AE39" s="542"/>
      <c r="AF39" s="542" t="str">
        <f>IF(AND('Mapa final'!$P$24="Baja",'Mapa final'!$S$24="Mayor"),CONCATENATE("R",'Mapa final'!$A$24),"")</f>
        <v/>
      </c>
      <c r="AG39" s="542"/>
      <c r="AH39" s="542" t="str">
        <f>IF(AND('Mapa final'!$P$33="Baja",'Mapa final'!$S$33="Mayor"),CONCATENATE("R",'Mapa final'!$A$33),"")</f>
        <v/>
      </c>
      <c r="AI39" s="542"/>
      <c r="AJ39" s="558" t="str">
        <f>IF(AND('Mapa final'!$P$23="Baja",'Mapa final'!$S$23="Catastrófico"),CONCATENATE("R",'Mapa final'!$A$23),"")</f>
        <v/>
      </c>
      <c r="AK39" s="559"/>
      <c r="AL39" s="559" t="str">
        <f>IF(AND('Mapa final'!$P$24="Baja",'Mapa final'!$S$24="Catastrófico"),CONCATENATE("R",'Mapa final'!$A$24),"")</f>
        <v/>
      </c>
      <c r="AM39" s="559"/>
      <c r="AN39" s="559" t="str">
        <f>IF(AND('Mapa final'!$P$33="Baja",'Mapa final'!$S$33="Catastrófico"),CONCATENATE("R",'Mapa final'!$A$33),"")</f>
        <v/>
      </c>
      <c r="AO39" s="560"/>
      <c r="AP39" s="68"/>
      <c r="AQ39" s="529"/>
      <c r="AR39" s="530"/>
      <c r="AS39" s="530"/>
      <c r="AT39" s="530"/>
      <c r="AU39" s="530"/>
      <c r="AV39" s="531"/>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c r="C40" s="68"/>
      <c r="D40" s="497"/>
      <c r="E40" s="497"/>
      <c r="F40" s="498"/>
      <c r="G40" s="537"/>
      <c r="H40" s="538"/>
      <c r="I40" s="538"/>
      <c r="J40" s="538"/>
      <c r="K40" s="538"/>
      <c r="L40" s="576"/>
      <c r="M40" s="574"/>
      <c r="N40" s="574"/>
      <c r="O40" s="574"/>
      <c r="P40" s="574"/>
      <c r="Q40" s="575"/>
      <c r="R40" s="553"/>
      <c r="S40" s="554"/>
      <c r="T40" s="554"/>
      <c r="U40" s="554"/>
      <c r="V40" s="554"/>
      <c r="W40" s="567"/>
      <c r="X40" s="553"/>
      <c r="Y40" s="554"/>
      <c r="Z40" s="554"/>
      <c r="AA40" s="554"/>
      <c r="AB40" s="554"/>
      <c r="AC40" s="567"/>
      <c r="AD40" s="545"/>
      <c r="AE40" s="542"/>
      <c r="AF40" s="542"/>
      <c r="AG40" s="542"/>
      <c r="AH40" s="542"/>
      <c r="AI40" s="542"/>
      <c r="AJ40" s="558"/>
      <c r="AK40" s="559"/>
      <c r="AL40" s="559"/>
      <c r="AM40" s="559"/>
      <c r="AN40" s="559"/>
      <c r="AO40" s="560"/>
      <c r="AP40" s="68"/>
      <c r="AQ40" s="529"/>
      <c r="AR40" s="530"/>
      <c r="AS40" s="530"/>
      <c r="AT40" s="530"/>
      <c r="AU40" s="530"/>
      <c r="AV40" s="531"/>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c r="C41" s="68"/>
      <c r="D41" s="497"/>
      <c r="E41" s="497"/>
      <c r="F41" s="498"/>
      <c r="G41" s="537"/>
      <c r="H41" s="538"/>
      <c r="I41" s="538"/>
      <c r="J41" s="538"/>
      <c r="K41" s="538"/>
      <c r="L41" s="576" t="str">
        <f>IF(AND('Mapa final'!$P$34="Baja",'Mapa final'!$S$34="Leve"),CONCATENATE("R",'Mapa final'!$A$34),"")</f>
        <v/>
      </c>
      <c r="M41" s="574"/>
      <c r="N41" s="574" t="str">
        <f>IF(AND('Mapa final'!$K$35="Baja",'Mapa final'!$O$35="Leve"),CONCATENATE("R",'Mapa final'!$A$35),"")</f>
        <v/>
      </c>
      <c r="O41" s="574"/>
      <c r="P41" s="574" t="str">
        <f>IF(AND('Mapa final'!$K$36="Baja",'Mapa final'!$O$36="Leve"),CONCATENATE("R",'Mapa final'!$A$36),"")</f>
        <v/>
      </c>
      <c r="Q41" s="575"/>
      <c r="R41" s="553" t="str">
        <f>IF(AND('Mapa final'!$P$34="Baja",'Mapa final'!$S$34="Menor"),CONCATENATE("R",'Mapa final'!$A$34),"")</f>
        <v/>
      </c>
      <c r="S41" s="554"/>
      <c r="T41" s="554" t="str">
        <f>IF(AND('Mapa final'!$P$35="Baja",'Mapa final'!$S$35="Menor"),CONCATENATE("R",'Mapa final'!$A$35),"")</f>
        <v/>
      </c>
      <c r="U41" s="554"/>
      <c r="V41" s="554" t="str">
        <f>IF(AND('Mapa final'!$P$36="Baja",'Mapa final'!$S$36="Menor"),CONCATENATE("R",'Mapa final'!$A$36),"")</f>
        <v/>
      </c>
      <c r="W41" s="567"/>
      <c r="X41" s="553" t="str">
        <f>IF(AND('Mapa final'!$P$34="Baja",'Mapa final'!$S$34="Moderado"),CONCATENATE("R",'Mapa final'!$A$34),"")</f>
        <v/>
      </c>
      <c r="Y41" s="554"/>
      <c r="Z41" s="554" t="str">
        <f>IF(AND('Mapa final'!$P$35="Baja",'Mapa final'!$S$35="Moderado"),CONCATENATE("R",'Mapa final'!$A$35),"")</f>
        <v/>
      </c>
      <c r="AA41" s="554"/>
      <c r="AB41" s="554" t="str">
        <f>IF(AND('Mapa final'!$P$36="Baja",'Mapa final'!$S$36="Moderado"),CONCATENATE("R",'Mapa final'!$A$36),"")</f>
        <v/>
      </c>
      <c r="AC41" s="567"/>
      <c r="AD41" s="545" t="str">
        <f>IF(AND('Mapa final'!$P$34="Baja",'Mapa final'!$S$34="Mayor"),CONCATENATE("R",'Mapa final'!$A$34),"")</f>
        <v/>
      </c>
      <c r="AE41" s="542"/>
      <c r="AF41" s="542" t="str">
        <f>IF(AND('Mapa final'!$P$35="Baja",'Mapa final'!$S$35="Mayor"),CONCATENATE("R",'Mapa final'!$A$35),"")</f>
        <v/>
      </c>
      <c r="AG41" s="542"/>
      <c r="AH41" s="542" t="str">
        <f>IF(AND('Mapa final'!$P$36="Baja",'Mapa final'!$S$36="Mayor"),CONCATENATE("R",'Mapa final'!$A$36),"")</f>
        <v/>
      </c>
      <c r="AI41" s="542"/>
      <c r="AJ41" s="558" t="str">
        <f>IF(AND('Mapa final'!$P$34="Baja",'Mapa final'!$S$34="Catastrófico"),CONCATENATE("R",'Mapa final'!$A$34),"")</f>
        <v/>
      </c>
      <c r="AK41" s="559"/>
      <c r="AL41" s="559" t="str">
        <f>IF(AND('Mapa final'!$P$35="Baja",'Mapa final'!$S$35="Catastrófico"),CONCATENATE("R",'Mapa final'!$A$35),"")</f>
        <v/>
      </c>
      <c r="AM41" s="559"/>
      <c r="AN41" s="559" t="str">
        <f>IF(AND('Mapa final'!$P$36="Baja",'Mapa final'!$S$36="Catastrófico"),CONCATENATE("R",'Mapa final'!$A$36),"")</f>
        <v/>
      </c>
      <c r="AO41" s="560"/>
      <c r="AP41" s="68"/>
      <c r="AQ41" s="529"/>
      <c r="AR41" s="530"/>
      <c r="AS41" s="530"/>
      <c r="AT41" s="530"/>
      <c r="AU41" s="530"/>
      <c r="AV41" s="531"/>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c r="C42" s="68"/>
      <c r="D42" s="497"/>
      <c r="E42" s="497"/>
      <c r="F42" s="498"/>
      <c r="G42" s="539"/>
      <c r="H42" s="540"/>
      <c r="I42" s="540"/>
      <c r="J42" s="540"/>
      <c r="K42" s="540"/>
      <c r="L42" s="577"/>
      <c r="M42" s="578"/>
      <c r="N42" s="578"/>
      <c r="O42" s="578"/>
      <c r="P42" s="578"/>
      <c r="Q42" s="579"/>
      <c r="R42" s="568"/>
      <c r="S42" s="569"/>
      <c r="T42" s="569"/>
      <c r="U42" s="569"/>
      <c r="V42" s="569"/>
      <c r="W42" s="570"/>
      <c r="X42" s="568"/>
      <c r="Y42" s="569"/>
      <c r="Z42" s="569"/>
      <c r="AA42" s="569"/>
      <c r="AB42" s="569"/>
      <c r="AC42" s="570"/>
      <c r="AD42" s="556"/>
      <c r="AE42" s="551"/>
      <c r="AF42" s="551"/>
      <c r="AG42" s="551"/>
      <c r="AH42" s="551"/>
      <c r="AI42" s="551"/>
      <c r="AJ42" s="564"/>
      <c r="AK42" s="565"/>
      <c r="AL42" s="565"/>
      <c r="AM42" s="565"/>
      <c r="AN42" s="565"/>
      <c r="AO42" s="566"/>
      <c r="AP42" s="68"/>
      <c r="AQ42" s="532"/>
      <c r="AR42" s="533"/>
      <c r="AS42" s="533"/>
      <c r="AT42" s="533"/>
      <c r="AU42" s="533"/>
      <c r="AV42" s="534"/>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c r="C43" s="68"/>
      <c r="D43" s="497"/>
      <c r="E43" s="497"/>
      <c r="F43" s="498"/>
      <c r="G43" s="535" t="s">
        <v>375</v>
      </c>
      <c r="H43" s="536"/>
      <c r="I43" s="536"/>
      <c r="J43" s="536"/>
      <c r="K43" s="536"/>
      <c r="L43" s="580"/>
      <c r="M43" s="581"/>
      <c r="N43" s="581" t="str">
        <f>IF(AND('Mapa final'!$K$15="Muy Baja",'Mapa final'!$O$15="Leve"),CONCATENATE("R",'Mapa final'!$A$16),"")</f>
        <v/>
      </c>
      <c r="O43" s="581"/>
      <c r="P43" s="581" t="e">
        <f>IF(AND('Mapa final'!#REF!="Muy Baja",'Mapa final'!$O$17="Leve"),CONCATENATE("R",'Mapa final'!$A$17),"")</f>
        <v>#REF!</v>
      </c>
      <c r="Q43" s="582"/>
      <c r="R43" s="580"/>
      <c r="S43" s="581"/>
      <c r="T43" s="581" t="str">
        <f>IF(AND('Mapa final'!$P$15="Muy Baja",'Mapa final'!$S$15="Menor"),CONCATENATE("R",'Mapa final'!$A$16),"")</f>
        <v/>
      </c>
      <c r="U43" s="581"/>
      <c r="V43" s="581" t="str">
        <f>IF(AND('Mapa final'!$P$17="Muy Baja",'Mapa final'!$S$17="Menor"),CONCATENATE("R",'Mapa final'!$A$17),"")</f>
        <v/>
      </c>
      <c r="W43" s="582"/>
      <c r="X43" s="571"/>
      <c r="Y43" s="572"/>
      <c r="Z43" s="572" t="str">
        <f>IF(AND('Mapa final'!P$15="Muy Baja",'Mapa final'!$S$15="Moderado"),CONCATENATE("R",'Mapa final'!$D$15),"")</f>
        <v/>
      </c>
      <c r="AA43" s="572"/>
      <c r="AB43" s="572" t="str">
        <f>IF(AND('Mapa final'!$P$17="Muy Baja",'Mapa final'!$S$17="Moderado"),CONCATENATE("R",'Mapa final'!$A$17),"")</f>
        <v/>
      </c>
      <c r="AC43" s="573"/>
      <c r="AD43" s="543"/>
      <c r="AE43" s="544"/>
      <c r="AF43" s="544" t="str">
        <f>IF(AND('Mapa final'!$P$15="Muy Baja",'Mapa final'!$S$15="Mayor"),CONCATENATE("R",'Mapa final'!$A$16),"")</f>
        <v/>
      </c>
      <c r="AG43" s="544"/>
      <c r="AH43" s="544" t="str">
        <f>IF(AND('Mapa final'!$P$17="Muy Baja",'Mapa final'!$S$17="Mayor"),CONCATENATE("R",'Mapa final'!$D$17),"")</f>
        <v/>
      </c>
      <c r="AI43" s="557"/>
      <c r="AJ43" s="558"/>
      <c r="AK43" s="559"/>
      <c r="AL43" s="559" t="str">
        <f>IF(AND('Mapa final'!$P$15="Muy Baja",'Mapa final'!$S$15="Catastrófico"),CONCATENATE("R",'Mapa final'!$D$15),"")</f>
        <v/>
      </c>
      <c r="AM43" s="559"/>
      <c r="AN43" s="559" t="str">
        <f>IF(AND('Mapa final'!$P$17="Muy Baja",'Mapa final'!$S$17="Catastrófico"),CONCATENATE("R",'Mapa final'!$A$17),"")</f>
        <v/>
      </c>
      <c r="AO43" s="560"/>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c r="C44" s="68"/>
      <c r="D44" s="497"/>
      <c r="E44" s="497"/>
      <c r="F44" s="498"/>
      <c r="G44" s="537"/>
      <c r="H44" s="538"/>
      <c r="I44" s="538"/>
      <c r="J44" s="538"/>
      <c r="K44" s="538"/>
      <c r="L44" s="576"/>
      <c r="M44" s="574"/>
      <c r="N44" s="574"/>
      <c r="O44" s="574"/>
      <c r="P44" s="574"/>
      <c r="Q44" s="575"/>
      <c r="R44" s="576"/>
      <c r="S44" s="574"/>
      <c r="T44" s="574"/>
      <c r="U44" s="574"/>
      <c r="V44" s="574"/>
      <c r="W44" s="575"/>
      <c r="X44" s="553"/>
      <c r="Y44" s="554"/>
      <c r="Z44" s="554"/>
      <c r="AA44" s="554"/>
      <c r="AB44" s="554"/>
      <c r="AC44" s="567"/>
      <c r="AD44" s="545"/>
      <c r="AE44" s="542"/>
      <c r="AF44" s="542"/>
      <c r="AG44" s="542"/>
      <c r="AH44" s="542"/>
      <c r="AI44" s="550"/>
      <c r="AJ44" s="558"/>
      <c r="AK44" s="559"/>
      <c r="AL44" s="559"/>
      <c r="AM44" s="559"/>
      <c r="AN44" s="559"/>
      <c r="AO44" s="560"/>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c r="C45" s="68"/>
      <c r="D45" s="497"/>
      <c r="E45" s="497"/>
      <c r="F45" s="498"/>
      <c r="G45" s="537"/>
      <c r="H45" s="538"/>
      <c r="I45" s="538"/>
      <c r="J45" s="538"/>
      <c r="K45" s="538"/>
      <c r="L45" s="576" t="str">
        <f>IF(AND('Mapa final'!$P$20="Muy Baja",'Mapa final'!$S$20="Leve"),CONCATENATE("R",'Mapa final'!$A$20),"")</f>
        <v/>
      </c>
      <c r="M45" s="574"/>
      <c r="N45" s="574" t="str">
        <f>IF(AND('Mapa final'!$K$21="Muy Baja",'Mapa final'!$O$21="Leve"),CONCATENATE("R",'Mapa final'!$A$21),"")</f>
        <v/>
      </c>
      <c r="O45" s="574"/>
      <c r="P45" s="574" t="str">
        <f>IF(AND('Mapa final'!$K$22="Muy Baja",'Mapa final'!$O$22="Leve"),CONCATENATE("R",'Mapa final'!$A$22),"")</f>
        <v/>
      </c>
      <c r="Q45" s="575"/>
      <c r="R45" s="576" t="str">
        <f>IF(AND('Mapa final'!$P$20="Muy Baja",'Mapa final'!$S$20="Menor"),CONCATENATE("R",'Mapa final'!$A$20),"")</f>
        <v/>
      </c>
      <c r="S45" s="574"/>
      <c r="T45" s="574" t="str">
        <f>IF(AND('Mapa final'!$P$21="Muy Baja",'Mapa final'!$S$21="Menor"),CONCATENATE("R",'Mapa final'!$A$21),"")</f>
        <v/>
      </c>
      <c r="U45" s="574"/>
      <c r="V45" s="574" t="str">
        <f>IF(AND('Mapa final'!$P$22="Muy Baja",'Mapa final'!$S$22="Menor"),CONCATENATE("R",'Mapa final'!$A$22),"")</f>
        <v/>
      </c>
      <c r="W45" s="575"/>
      <c r="X45" s="553" t="str">
        <f>IF(AND('Mapa final'!$P$20="Muy Baja",'Mapa final'!$S$20="Moderado"),CONCATENATE("R",'Mapa final'!$A$20),"")</f>
        <v/>
      </c>
      <c r="Y45" s="554"/>
      <c r="Z45" s="554" t="str">
        <f>IF(AND('Mapa final'!$P$21="Muy Baja",'Mapa final'!$S$21="Moderado"),CONCATENATE("R",'Mapa final'!$A$21),"")</f>
        <v/>
      </c>
      <c r="AA45" s="554"/>
      <c r="AB45" s="554" t="str">
        <f>IF(AND('Mapa final'!$P$22="Muy Baja",'Mapa final'!$S$22="Moderado"),CONCATENATE("R",'Mapa final'!$A$22),"")</f>
        <v/>
      </c>
      <c r="AC45" s="567"/>
      <c r="AD45" s="545" t="str">
        <f>IF(AND('Mapa final'!$P$20="Muy Baja",'Mapa final'!$S$20="Mayor"),CONCATENATE("R",'Mapa final'!$A$20),"")</f>
        <v/>
      </c>
      <c r="AE45" s="542"/>
      <c r="AF45" s="542" t="str">
        <f>IF(AND('Mapa final'!$P$21="Muy Baja",'Mapa final'!$S$21="Mayor"),CONCATENATE("R",'Mapa final'!$A$21),"")</f>
        <v/>
      </c>
      <c r="AG45" s="542"/>
      <c r="AH45" s="542" t="str">
        <f>IF(AND('Mapa final'!$P$22="Muy Baja",'Mapa final'!$S$22="Mayor"),CONCATENATE("R",'Mapa final'!$A$22),"")</f>
        <v/>
      </c>
      <c r="AI45" s="550"/>
      <c r="AJ45" s="558" t="str">
        <f>IF(AND('Mapa final'!$P$20="Muy Baja",'Mapa final'!$S$20="Catastrófico"),CONCATENATE("R",'Mapa final'!$A$20),"")</f>
        <v/>
      </c>
      <c r="AK45" s="559"/>
      <c r="AL45" s="559" t="str">
        <f>IF(AND('Mapa final'!$P$21="Muy Baja",'Mapa final'!$S$21="Catastrófico"),CONCATENATE("R",'Mapa final'!$A$21),"")</f>
        <v/>
      </c>
      <c r="AM45" s="559"/>
      <c r="AN45" s="559" t="str">
        <f>IF(AND('Mapa final'!$P$22="Muy Baja",'Mapa final'!$K$22="Catastrófico"),CONCATENATE("R",'Mapa final'!$A$22),"")</f>
        <v/>
      </c>
      <c r="AO45" s="560"/>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c r="C46" s="68"/>
      <c r="D46" s="497"/>
      <c r="E46" s="497"/>
      <c r="F46" s="498"/>
      <c r="G46" s="537"/>
      <c r="H46" s="538"/>
      <c r="I46" s="538"/>
      <c r="J46" s="538"/>
      <c r="K46" s="538"/>
      <c r="L46" s="576"/>
      <c r="M46" s="574"/>
      <c r="N46" s="574"/>
      <c r="O46" s="574"/>
      <c r="P46" s="574"/>
      <c r="Q46" s="575"/>
      <c r="R46" s="576"/>
      <c r="S46" s="574"/>
      <c r="T46" s="574"/>
      <c r="U46" s="574"/>
      <c r="V46" s="574"/>
      <c r="W46" s="575"/>
      <c r="X46" s="553"/>
      <c r="Y46" s="554"/>
      <c r="Z46" s="554"/>
      <c r="AA46" s="554"/>
      <c r="AB46" s="554"/>
      <c r="AC46" s="567"/>
      <c r="AD46" s="545"/>
      <c r="AE46" s="542"/>
      <c r="AF46" s="542"/>
      <c r="AG46" s="542"/>
      <c r="AH46" s="542"/>
      <c r="AI46" s="550"/>
      <c r="AJ46" s="558"/>
      <c r="AK46" s="559"/>
      <c r="AL46" s="559"/>
      <c r="AM46" s="559"/>
      <c r="AN46" s="559"/>
      <c r="AO46" s="560"/>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c r="C47" s="68"/>
      <c r="D47" s="497"/>
      <c r="E47" s="497"/>
      <c r="F47" s="498"/>
      <c r="G47" s="537"/>
      <c r="H47" s="538"/>
      <c r="I47" s="538"/>
      <c r="J47" s="538"/>
      <c r="K47" s="538"/>
      <c r="L47" s="576" t="str">
        <f>IF(AND('Mapa final'!$P$23="Muy Baja",'Mapa final'!$S$23="Leve"),CONCATENATE("R",'Mapa final'!$A$23),"")</f>
        <v/>
      </c>
      <c r="M47" s="574"/>
      <c r="N47" s="574" t="str">
        <f>IF(AND('Mapa final'!$K$24="Muy Baja",'Mapa final'!$O$24="Leve"),CONCATENATE("R",'Mapa final'!$A$24),"")</f>
        <v/>
      </c>
      <c r="O47" s="574"/>
      <c r="P47" s="574" t="str">
        <f>IF(AND('Mapa final'!$K$33="Muy Baja",'Mapa final'!$O$33="Leve"),CONCATENATE("R",'Mapa final'!$A$33),"")</f>
        <v/>
      </c>
      <c r="Q47" s="575"/>
      <c r="R47" s="576" t="str">
        <f>IF(AND('Mapa final'!$P$23="Muy Baja",'Mapa final'!$S$23="Menor"),CONCATENATE("R",'Mapa final'!$A$23),"")</f>
        <v/>
      </c>
      <c r="S47" s="574"/>
      <c r="T47" s="574" t="str">
        <f>IF(AND('Mapa final'!$LT$24="Muy Baja",'Mapa final'!$S$24="Menor"),CONCATENATE("R",'Mapa final'!$A$24),"")</f>
        <v/>
      </c>
      <c r="U47" s="574"/>
      <c r="V47" s="574" t="str">
        <f>IF(AND('Mapa final'!$P$33="Muy Baja",'Mapa final'!$S$33="Menor"),CONCATENATE("R",'Mapa final'!$A$33),"")</f>
        <v/>
      </c>
      <c r="W47" s="575"/>
      <c r="X47" s="553" t="str">
        <f>IF(AND('Mapa final'!$P$23="Muy Baja",'Mapa final'!$S$23="Moderado"),CONCATENATE("R",'Mapa final'!$A$23),"")</f>
        <v/>
      </c>
      <c r="Y47" s="554"/>
      <c r="Z47" s="554" t="str">
        <f>IF(AND('Mapa final'!$P$24="Muy Baja",'Mapa final'!$S$24="Moderado"),CONCATENATE("R",'Mapa final'!$A$24),"")</f>
        <v/>
      </c>
      <c r="AA47" s="554"/>
      <c r="AB47" s="554" t="str">
        <f>IF(AND('Mapa final'!$P$33="Muy Baja",'Mapa final'!$S$33="Moderado"),CONCATENATE("R",'Mapa final'!$A$33),"")</f>
        <v/>
      </c>
      <c r="AC47" s="567"/>
      <c r="AD47" s="545" t="str">
        <f>IF(AND('Mapa final'!$P$23="Muy Baja",'Mapa final'!$S$23="Mayor"),CONCATENATE("R",'Mapa final'!$A$23),"")</f>
        <v/>
      </c>
      <c r="AE47" s="542"/>
      <c r="AF47" s="542" t="str">
        <f>IF(AND('Mapa final'!$P$24="Muy Baja",'Mapa final'!$S$24="Mayor"),CONCATENATE("R",'Mapa final'!$A$24),"")</f>
        <v/>
      </c>
      <c r="AG47" s="542"/>
      <c r="AH47" s="542" t="str">
        <f>IF(AND('Mapa final'!$P$33="Muy Baja",'Mapa final'!$S$33="Mayor"),CONCATENATE("R",'Mapa final'!$A$33),"")</f>
        <v/>
      </c>
      <c r="AI47" s="550"/>
      <c r="AJ47" s="558" t="str">
        <f>IF(AND('Mapa final'!$P$23="Muy Baja",'Mapa final'!$S$23="Catastrófico"),CONCATENATE("R",'Mapa final'!$A$23),"")</f>
        <v/>
      </c>
      <c r="AK47" s="559"/>
      <c r="AL47" s="559" t="str">
        <f>IF(AND('Mapa final'!$P$24="Muy Baja",'Mapa final'!$S$24="Catastrófico"),CONCATENATE("R",'Mapa final'!$A$24),"")</f>
        <v/>
      </c>
      <c r="AM47" s="559"/>
      <c r="AN47" s="559" t="str">
        <f>IF(AND('Mapa final'!$P$33="Muy Baja",'Mapa final'!$S$33="Catastrófico"),CONCATENATE("R",'Mapa final'!$A$33),"")</f>
        <v/>
      </c>
      <c r="AO47" s="560"/>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c r="C48" s="68"/>
      <c r="D48" s="497"/>
      <c r="E48" s="497"/>
      <c r="F48" s="498"/>
      <c r="G48" s="537"/>
      <c r="H48" s="538"/>
      <c r="I48" s="538"/>
      <c r="J48" s="538"/>
      <c r="K48" s="538"/>
      <c r="L48" s="576"/>
      <c r="M48" s="574"/>
      <c r="N48" s="574"/>
      <c r="O48" s="574"/>
      <c r="P48" s="574"/>
      <c r="Q48" s="575"/>
      <c r="R48" s="576"/>
      <c r="S48" s="574"/>
      <c r="T48" s="574"/>
      <c r="U48" s="574"/>
      <c r="V48" s="574"/>
      <c r="W48" s="575"/>
      <c r="X48" s="553"/>
      <c r="Y48" s="554"/>
      <c r="Z48" s="554"/>
      <c r="AA48" s="554"/>
      <c r="AB48" s="554"/>
      <c r="AC48" s="567"/>
      <c r="AD48" s="545"/>
      <c r="AE48" s="542"/>
      <c r="AF48" s="542"/>
      <c r="AG48" s="542"/>
      <c r="AH48" s="542"/>
      <c r="AI48" s="550"/>
      <c r="AJ48" s="558"/>
      <c r="AK48" s="559"/>
      <c r="AL48" s="559"/>
      <c r="AM48" s="559"/>
      <c r="AN48" s="559"/>
      <c r="AO48" s="560"/>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c r="C49" s="68"/>
      <c r="D49" s="497"/>
      <c r="E49" s="497"/>
      <c r="F49" s="498"/>
      <c r="G49" s="537"/>
      <c r="H49" s="538"/>
      <c r="I49" s="538"/>
      <c r="J49" s="538"/>
      <c r="K49" s="538"/>
      <c r="L49" s="576" t="str">
        <f>IF(AND('Mapa final'!$P$34="Muy Baja",'Mapa final'!$S$34="Leve"),CONCATENATE("R",'Mapa final'!$A$34),"")</f>
        <v/>
      </c>
      <c r="M49" s="574"/>
      <c r="N49" s="574" t="str">
        <f>IF(AND('Mapa final'!$K$35="Muy Baja",'Mapa final'!$O$35="Leve"),CONCATENATE("R",'Mapa final'!$A$35),"")</f>
        <v/>
      </c>
      <c r="O49" s="574"/>
      <c r="P49" s="574" t="str">
        <f>IF(AND('Mapa final'!$K$36="Muy Baja",'Mapa final'!$O$36="Leve"),CONCATENATE("R",'Mapa final'!$A$36),"")</f>
        <v/>
      </c>
      <c r="Q49" s="575"/>
      <c r="R49" s="574" t="str">
        <f>IF(AND('Mapa final'!$P$34="Muy Baja",'Mapa final'!$S$34="Menor"),CONCATENATE("R",'Mapa final'!$A$34),"")</f>
        <v/>
      </c>
      <c r="S49" s="574"/>
      <c r="T49" s="574" t="str">
        <f>IF(AND('Mapa final'!$P$35="Muy Baja",'Mapa final'!$S$35="Menor"),CONCATENATE("R",'Mapa final'!$A$35),"")</f>
        <v/>
      </c>
      <c r="U49" s="574"/>
      <c r="V49" s="574" t="str">
        <f>IF(AND('Mapa final'!$P$36="Muy Baja",'Mapa final'!$S$36="Menor"),CONCATENATE("R",'Mapa final'!$A$36),"")</f>
        <v/>
      </c>
      <c r="W49" s="575"/>
      <c r="X49" s="553" t="str">
        <f>IF(AND('Mapa final'!$P$34="Muy Baja",'Mapa final'!$S$34="Moderado"),CONCATENATE("R",'Mapa final'!$A$34),"")</f>
        <v/>
      </c>
      <c r="Y49" s="554"/>
      <c r="Z49" s="554" t="str">
        <f>IF(AND('Mapa final'!$P$35="Muy Baja",'Mapa final'!$S$35="Moderado"),CONCATENATE("R",'Mapa final'!$A$35),"")</f>
        <v/>
      </c>
      <c r="AA49" s="554"/>
      <c r="AB49" s="554" t="str">
        <f>IF(AND('Mapa final'!$P$36="Muy Baja",'Mapa final'!$S$36="Moderado"),CONCATENATE("R",'Mapa final'!$A$36),"")</f>
        <v/>
      </c>
      <c r="AC49" s="567"/>
      <c r="AD49" s="545" t="str">
        <f>IF(AND('Mapa final'!$P$34="Muy Baja",'Mapa final'!$S$34="Mayor"),CONCATENATE("R",'Mapa final'!$A$34),"")</f>
        <v/>
      </c>
      <c r="AE49" s="542"/>
      <c r="AF49" s="542" t="str">
        <f>IF(AND('Mapa final'!$P$35="Muy Baja",'Mapa final'!$S$35="Mayor"),CONCATENATE("R",'Mapa final'!$A$35),"")</f>
        <v/>
      </c>
      <c r="AG49" s="542"/>
      <c r="AH49" s="542" t="str">
        <f>IF(AND('Mapa final'!$P$36="Muy Baja",'Mapa final'!$S$36="Mayor"),CONCATENATE("R",'Mapa final'!$A$36),"")</f>
        <v/>
      </c>
      <c r="AI49" s="550"/>
      <c r="AJ49" s="558" t="str">
        <f>IF(AND('Mapa final'!$P$34="Muy Baja",'Mapa final'!$S$34="Catastrófico"),CONCATENATE("R",'Mapa final'!$A$34),"")</f>
        <v/>
      </c>
      <c r="AK49" s="559"/>
      <c r="AL49" s="559" t="str">
        <f>IF(AND('Mapa final'!$P$35="Muy Baja",'Mapa final'!$S$35="Catastrófico"),CONCATENATE("R",'Mapa final'!$A$35),"")</f>
        <v/>
      </c>
      <c r="AM49" s="559"/>
      <c r="AN49" s="559" t="str">
        <f>IF(AND('Mapa final'!$P$36="Muy Baja",'Mapa final'!$S$36="Catastrófico"),CONCATENATE("R",'Mapa final'!$A$36),"")</f>
        <v/>
      </c>
      <c r="AO49" s="560"/>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c r="C50" s="68"/>
      <c r="D50" s="497"/>
      <c r="E50" s="497"/>
      <c r="F50" s="498"/>
      <c r="G50" s="539"/>
      <c r="H50" s="540"/>
      <c r="I50" s="540"/>
      <c r="J50" s="540"/>
      <c r="K50" s="540"/>
      <c r="L50" s="577"/>
      <c r="M50" s="578"/>
      <c r="N50" s="578"/>
      <c r="O50" s="578"/>
      <c r="P50" s="578"/>
      <c r="Q50" s="579"/>
      <c r="R50" s="578"/>
      <c r="S50" s="578"/>
      <c r="T50" s="578"/>
      <c r="U50" s="578"/>
      <c r="V50" s="578"/>
      <c r="W50" s="579"/>
      <c r="X50" s="568"/>
      <c r="Y50" s="569"/>
      <c r="Z50" s="569"/>
      <c r="AA50" s="569"/>
      <c r="AB50" s="569"/>
      <c r="AC50" s="570"/>
      <c r="AD50" s="556"/>
      <c r="AE50" s="551"/>
      <c r="AF50" s="551"/>
      <c r="AG50" s="551"/>
      <c r="AH50" s="551"/>
      <c r="AI50" s="552"/>
      <c r="AJ50" s="564"/>
      <c r="AK50" s="565"/>
      <c r="AL50" s="565"/>
      <c r="AM50" s="565"/>
      <c r="AN50" s="565"/>
      <c r="AO50" s="566"/>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c r="C51" s="68"/>
      <c r="D51" s="68"/>
      <c r="E51" s="68"/>
      <c r="F51" s="68"/>
      <c r="G51" s="68"/>
      <c r="H51" s="68"/>
      <c r="I51" s="68"/>
      <c r="J51" s="68"/>
      <c r="K51" s="68"/>
      <c r="L51" s="546" t="s">
        <v>376</v>
      </c>
      <c r="M51" s="538"/>
      <c r="N51" s="538"/>
      <c r="O51" s="538"/>
      <c r="P51" s="538"/>
      <c r="Q51" s="547"/>
      <c r="R51" s="535" t="s">
        <v>377</v>
      </c>
      <c r="S51" s="536"/>
      <c r="T51" s="536"/>
      <c r="U51" s="536"/>
      <c r="V51" s="536"/>
      <c r="W51" s="549"/>
      <c r="X51" s="535" t="s">
        <v>378</v>
      </c>
      <c r="Y51" s="536"/>
      <c r="Z51" s="536"/>
      <c r="AA51" s="536"/>
      <c r="AB51" s="536"/>
      <c r="AC51" s="549"/>
      <c r="AD51" s="535" t="s">
        <v>379</v>
      </c>
      <c r="AE51" s="555"/>
      <c r="AF51" s="536"/>
      <c r="AG51" s="536"/>
      <c r="AH51" s="536"/>
      <c r="AI51" s="549"/>
      <c r="AJ51" s="535" t="s">
        <v>380</v>
      </c>
      <c r="AK51" s="536"/>
      <c r="AL51" s="536"/>
      <c r="AM51" s="536"/>
      <c r="AN51" s="536"/>
      <c r="AO51" s="549"/>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c r="C52" s="68"/>
      <c r="D52" s="68"/>
      <c r="E52" s="68"/>
      <c r="F52" s="68"/>
      <c r="G52" s="68"/>
      <c r="H52" s="68"/>
      <c r="I52" s="68"/>
      <c r="J52" s="68"/>
      <c r="K52" s="68"/>
      <c r="L52" s="537"/>
      <c r="M52" s="538"/>
      <c r="N52" s="538"/>
      <c r="O52" s="538"/>
      <c r="P52" s="538"/>
      <c r="Q52" s="547"/>
      <c r="R52" s="537"/>
      <c r="S52" s="538"/>
      <c r="T52" s="538"/>
      <c r="U52" s="538"/>
      <c r="V52" s="538"/>
      <c r="W52" s="547"/>
      <c r="X52" s="537"/>
      <c r="Y52" s="538"/>
      <c r="Z52" s="538"/>
      <c r="AA52" s="538"/>
      <c r="AB52" s="538"/>
      <c r="AC52" s="547"/>
      <c r="AD52" s="537"/>
      <c r="AE52" s="538"/>
      <c r="AF52" s="538"/>
      <c r="AG52" s="538"/>
      <c r="AH52" s="538"/>
      <c r="AI52" s="547"/>
      <c r="AJ52" s="537"/>
      <c r="AK52" s="538"/>
      <c r="AL52" s="538"/>
      <c r="AM52" s="538"/>
      <c r="AN52" s="538"/>
      <c r="AO52" s="547"/>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c r="C53" s="68"/>
      <c r="D53" s="68"/>
      <c r="E53" s="68"/>
      <c r="F53" s="68"/>
      <c r="G53" s="68"/>
      <c r="H53" s="68"/>
      <c r="I53" s="68"/>
      <c r="J53" s="68"/>
      <c r="K53" s="68"/>
      <c r="L53" s="537"/>
      <c r="M53" s="538"/>
      <c r="N53" s="538"/>
      <c r="O53" s="538"/>
      <c r="P53" s="538"/>
      <c r="Q53" s="547"/>
      <c r="R53" s="537"/>
      <c r="S53" s="538"/>
      <c r="T53" s="538"/>
      <c r="U53" s="538"/>
      <c r="V53" s="538"/>
      <c r="W53" s="547"/>
      <c r="X53" s="537"/>
      <c r="Y53" s="538"/>
      <c r="Z53" s="538"/>
      <c r="AA53" s="538"/>
      <c r="AB53" s="538"/>
      <c r="AC53" s="547"/>
      <c r="AD53" s="537"/>
      <c r="AE53" s="538"/>
      <c r="AF53" s="538"/>
      <c r="AG53" s="538"/>
      <c r="AH53" s="538"/>
      <c r="AI53" s="547"/>
      <c r="AJ53" s="537"/>
      <c r="AK53" s="538"/>
      <c r="AL53" s="538"/>
      <c r="AM53" s="538"/>
      <c r="AN53" s="538"/>
      <c r="AO53" s="547"/>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c r="C54" s="68"/>
      <c r="D54" s="68"/>
      <c r="E54" s="68"/>
      <c r="F54" s="68"/>
      <c r="G54" s="68"/>
      <c r="H54" s="68"/>
      <c r="I54" s="68"/>
      <c r="J54" s="68"/>
      <c r="K54" s="68"/>
      <c r="L54" s="537"/>
      <c r="M54" s="538"/>
      <c r="N54" s="538"/>
      <c r="O54" s="538"/>
      <c r="P54" s="538"/>
      <c r="Q54" s="547"/>
      <c r="R54" s="537"/>
      <c r="S54" s="538"/>
      <c r="T54" s="538"/>
      <c r="U54" s="538"/>
      <c r="V54" s="538"/>
      <c r="W54" s="547"/>
      <c r="X54" s="537"/>
      <c r="Y54" s="538"/>
      <c r="Z54" s="538"/>
      <c r="AA54" s="538"/>
      <c r="AB54" s="538"/>
      <c r="AC54" s="547"/>
      <c r="AD54" s="537"/>
      <c r="AE54" s="538"/>
      <c r="AF54" s="538"/>
      <c r="AG54" s="538"/>
      <c r="AH54" s="538"/>
      <c r="AI54" s="547"/>
      <c r="AJ54" s="537"/>
      <c r="AK54" s="538"/>
      <c r="AL54" s="538"/>
      <c r="AM54" s="538"/>
      <c r="AN54" s="538"/>
      <c r="AO54" s="547"/>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c r="C55" s="68"/>
      <c r="D55" s="68"/>
      <c r="E55" s="68"/>
      <c r="F55" s="68"/>
      <c r="G55" s="68"/>
      <c r="H55" s="68"/>
      <c r="I55" s="68"/>
      <c r="J55" s="68"/>
      <c r="K55" s="68"/>
      <c r="L55" s="537"/>
      <c r="M55" s="538"/>
      <c r="N55" s="538"/>
      <c r="O55" s="538"/>
      <c r="P55" s="538"/>
      <c r="Q55" s="547"/>
      <c r="R55" s="537"/>
      <c r="S55" s="538"/>
      <c r="T55" s="538"/>
      <c r="U55" s="538"/>
      <c r="V55" s="538"/>
      <c r="W55" s="547"/>
      <c r="X55" s="537"/>
      <c r="Y55" s="538"/>
      <c r="Z55" s="538"/>
      <c r="AA55" s="538"/>
      <c r="AB55" s="538"/>
      <c r="AC55" s="547"/>
      <c r="AD55" s="537"/>
      <c r="AE55" s="538"/>
      <c r="AF55" s="538"/>
      <c r="AG55" s="538"/>
      <c r="AH55" s="538"/>
      <c r="AI55" s="547"/>
      <c r="AJ55" s="537"/>
      <c r="AK55" s="538"/>
      <c r="AL55" s="538"/>
      <c r="AM55" s="538"/>
      <c r="AN55" s="538"/>
      <c r="AO55" s="547"/>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5.75" thickBot="1">
      <c r="C56" s="68"/>
      <c r="D56" s="68"/>
      <c r="E56" s="68"/>
      <c r="F56" s="68"/>
      <c r="G56" s="68"/>
      <c r="H56" s="68"/>
      <c r="I56" s="68"/>
      <c r="J56" s="68"/>
      <c r="K56" s="68"/>
      <c r="L56" s="539"/>
      <c r="M56" s="540"/>
      <c r="N56" s="540"/>
      <c r="O56" s="540"/>
      <c r="P56" s="540"/>
      <c r="Q56" s="548"/>
      <c r="R56" s="539"/>
      <c r="S56" s="540"/>
      <c r="T56" s="540"/>
      <c r="U56" s="540"/>
      <c r="V56" s="540"/>
      <c r="W56" s="548"/>
      <c r="X56" s="539"/>
      <c r="Y56" s="540"/>
      <c r="Z56" s="540"/>
      <c r="AA56" s="540"/>
      <c r="AB56" s="540"/>
      <c r="AC56" s="548"/>
      <c r="AD56" s="539"/>
      <c r="AE56" s="540"/>
      <c r="AF56" s="540"/>
      <c r="AG56" s="540"/>
      <c r="AH56" s="540"/>
      <c r="AI56" s="548"/>
      <c r="AJ56" s="539"/>
      <c r="AK56" s="540"/>
      <c r="AL56" s="540"/>
      <c r="AM56" s="540"/>
      <c r="AN56" s="540"/>
      <c r="AO56" s="54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c r="C67" s="68"/>
      <c r="D67" s="68"/>
      <c r="E67" s="68"/>
      <c r="F67" s="68"/>
      <c r="G67" s="68"/>
      <c r="H67" s="68" t="s">
        <v>381</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c r="D142" s="68"/>
      <c r="E142" s="68"/>
      <c r="F142" s="68"/>
      <c r="G142" s="68"/>
      <c r="H142" s="68"/>
      <c r="I142" s="68"/>
      <c r="J142" s="68"/>
      <c r="K142" s="68"/>
    </row>
    <row r="143" spans="4:65">
      <c r="D143" s="68"/>
      <c r="E143" s="68"/>
      <c r="F143" s="68"/>
      <c r="G143" s="68"/>
      <c r="H143" s="68"/>
      <c r="I143" s="68"/>
      <c r="J143" s="68"/>
      <c r="K143" s="68"/>
    </row>
    <row r="144" spans="4:65">
      <c r="D144" s="68"/>
      <c r="E144" s="68"/>
      <c r="F144" s="68"/>
      <c r="G144" s="68"/>
      <c r="H144" s="68"/>
      <c r="I144" s="68"/>
      <c r="J144" s="68"/>
      <c r="K144" s="68"/>
    </row>
    <row r="145" spans="4:11">
      <c r="D145" s="68"/>
      <c r="E145" s="68"/>
      <c r="F145" s="68"/>
      <c r="G145" s="68"/>
      <c r="H145" s="68"/>
      <c r="I145" s="68"/>
      <c r="J145" s="68"/>
      <c r="K145" s="68"/>
    </row>
  </sheetData>
  <mergeCells count="324">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X47:Y48"/>
    <mergeCell ref="Z47:AA48"/>
    <mergeCell ref="AB47:AC48"/>
    <mergeCell ref="X49:Y50"/>
    <mergeCell ref="Z49:AA50"/>
    <mergeCell ref="AB49:AC50"/>
    <mergeCell ref="X43:Y44"/>
    <mergeCell ref="Z43:AA44"/>
    <mergeCell ref="AB43:AC44"/>
    <mergeCell ref="X45:Y46"/>
    <mergeCell ref="Z45:AA46"/>
    <mergeCell ref="AB45:AC46"/>
    <mergeCell ref="R39:S40"/>
    <mergeCell ref="T39:U40"/>
    <mergeCell ref="V39:W40"/>
    <mergeCell ref="R41:S42"/>
    <mergeCell ref="T41:U42"/>
    <mergeCell ref="V41:W42"/>
    <mergeCell ref="R35:S36"/>
    <mergeCell ref="T35:U36"/>
    <mergeCell ref="V35:W36"/>
    <mergeCell ref="R37:S38"/>
    <mergeCell ref="T37:U38"/>
    <mergeCell ref="V37:W38"/>
    <mergeCell ref="X39:Y40"/>
    <mergeCell ref="Z39:AA40"/>
    <mergeCell ref="AB39:AC40"/>
    <mergeCell ref="X41:Y42"/>
    <mergeCell ref="Z41:AA42"/>
    <mergeCell ref="AB41:AC42"/>
    <mergeCell ref="X35:Y36"/>
    <mergeCell ref="Z35:AA36"/>
    <mergeCell ref="AB35:AC36"/>
    <mergeCell ref="X37:Y38"/>
    <mergeCell ref="Z37:AA38"/>
    <mergeCell ref="AB37:AC38"/>
    <mergeCell ref="X31:Y32"/>
    <mergeCell ref="Z31:AA32"/>
    <mergeCell ref="AB31:AC32"/>
    <mergeCell ref="X33:Y34"/>
    <mergeCell ref="Z33:AA34"/>
    <mergeCell ref="AB33:AC34"/>
    <mergeCell ref="X27:Y28"/>
    <mergeCell ref="Z27:AA28"/>
    <mergeCell ref="AB27:AC28"/>
    <mergeCell ref="X29:Y30"/>
    <mergeCell ref="Z29:AA30"/>
    <mergeCell ref="AB29:AC30"/>
    <mergeCell ref="R31:S32"/>
    <mergeCell ref="T31:U32"/>
    <mergeCell ref="V31:W32"/>
    <mergeCell ref="R33:S34"/>
    <mergeCell ref="T33:U34"/>
    <mergeCell ref="V33:W34"/>
    <mergeCell ref="R27:S28"/>
    <mergeCell ref="T27:U28"/>
    <mergeCell ref="V27:W28"/>
    <mergeCell ref="R29:S30"/>
    <mergeCell ref="T29:U30"/>
    <mergeCell ref="V29:W30"/>
    <mergeCell ref="L31:M32"/>
    <mergeCell ref="N31:O32"/>
    <mergeCell ref="P31:Q32"/>
    <mergeCell ref="L33:M34"/>
    <mergeCell ref="N33:O34"/>
    <mergeCell ref="P33:Q34"/>
    <mergeCell ref="L27:M28"/>
    <mergeCell ref="N27:O28"/>
    <mergeCell ref="P27:Q28"/>
    <mergeCell ref="L29:M30"/>
    <mergeCell ref="N29:O30"/>
    <mergeCell ref="P29:Q30"/>
    <mergeCell ref="R23:S24"/>
    <mergeCell ref="T23:U24"/>
    <mergeCell ref="V23:W24"/>
    <mergeCell ref="R25:S26"/>
    <mergeCell ref="T25:U26"/>
    <mergeCell ref="V25:W26"/>
    <mergeCell ref="R19:S20"/>
    <mergeCell ref="T19:U20"/>
    <mergeCell ref="V19:W20"/>
    <mergeCell ref="R21:S22"/>
    <mergeCell ref="T21:U22"/>
    <mergeCell ref="V21:W22"/>
    <mergeCell ref="P23:Q24"/>
    <mergeCell ref="L25:M26"/>
    <mergeCell ref="N25:O26"/>
    <mergeCell ref="P25:Q26"/>
    <mergeCell ref="L19:M20"/>
    <mergeCell ref="N19:O20"/>
    <mergeCell ref="P19:Q20"/>
    <mergeCell ref="L21:M22"/>
    <mergeCell ref="N21:O22"/>
    <mergeCell ref="P21:Q22"/>
    <mergeCell ref="AJ47:AK48"/>
    <mergeCell ref="AL47:AM48"/>
    <mergeCell ref="AN47:AO48"/>
    <mergeCell ref="AJ49:AK50"/>
    <mergeCell ref="AL49:AM50"/>
    <mergeCell ref="AN49:AO50"/>
    <mergeCell ref="AJ43:AK44"/>
    <mergeCell ref="AL43:AM44"/>
    <mergeCell ref="AN43:AO44"/>
    <mergeCell ref="AJ45:AK46"/>
    <mergeCell ref="AL45:AM46"/>
    <mergeCell ref="AN45:AO46"/>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15:AK16"/>
    <mergeCell ref="AL15:AM16"/>
    <mergeCell ref="AN15:AO16"/>
    <mergeCell ref="AJ17:AK18"/>
    <mergeCell ref="AL17:AM18"/>
    <mergeCell ref="AN17:AO18"/>
    <mergeCell ref="AJ11:AK12"/>
    <mergeCell ref="AL11:AM12"/>
    <mergeCell ref="AN11:AO12"/>
    <mergeCell ref="AJ13:AK14"/>
    <mergeCell ref="AL13:AM14"/>
    <mergeCell ref="AN13:AO14"/>
    <mergeCell ref="AD47:AE48"/>
    <mergeCell ref="AF47:AG48"/>
    <mergeCell ref="AH47:AI48"/>
    <mergeCell ref="AD49:AE50"/>
    <mergeCell ref="AF49:AG50"/>
    <mergeCell ref="AH49:AI50"/>
    <mergeCell ref="AD43:AE44"/>
    <mergeCell ref="AF43:AG44"/>
    <mergeCell ref="AH43:AI44"/>
    <mergeCell ref="AD45:AE46"/>
    <mergeCell ref="AF45:AG46"/>
    <mergeCell ref="AH45:AI46"/>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zoomScale="60" zoomScaleNormal="60" workbookViewId="0">
      <pane ySplit="7" topLeftCell="A8" activePane="bottomLeft" state="frozen"/>
      <selection pane="bottomLeft" activeCell="AX15" sqref="AX14:AX15"/>
    </sheetView>
  </sheetViews>
  <sheetFormatPr defaultColWidth="11.42578125" defaultRowHeight="15"/>
  <cols>
    <col min="3" max="19" width="5.7109375" customWidth="1"/>
    <col min="20" max="20" width="6.7109375" customWidth="1"/>
    <col min="21" max="23" width="5.7109375" customWidth="1"/>
    <col min="24" max="24" width="7.42578125" customWidth="1"/>
    <col min="25" max="25" width="8.42578125" customWidth="1"/>
    <col min="26" max="26" width="12" customWidth="1"/>
    <col min="27" max="27" width="5.7109375" customWidth="1"/>
    <col min="28" max="28" width="10.7109375" customWidth="1"/>
    <col min="29" max="29" width="5.7109375" customWidth="1"/>
    <col min="30" max="30" width="7.42578125" customWidth="1"/>
    <col min="31" max="31" width="8.42578125" customWidth="1"/>
    <col min="32" max="34" width="5.7109375" customWidth="1"/>
    <col min="35" max="35" width="8.42578125" customWidth="1"/>
    <col min="36" max="36" width="9.7109375" customWidth="1"/>
    <col min="37" max="40" width="5.7109375" customWidth="1"/>
    <col min="42" max="47" width="5.7109375" customWidth="1"/>
  </cols>
  <sheetData>
    <row r="1" spans="1:92" ht="15.75" thickBot="1"/>
    <row r="2" spans="1:92">
      <c r="C2" s="488" t="s">
        <v>363</v>
      </c>
      <c r="D2" s="489"/>
      <c r="E2" s="489"/>
      <c r="F2" s="489"/>
      <c r="G2" s="489"/>
      <c r="H2" s="489"/>
      <c r="I2" s="489"/>
      <c r="J2" s="490"/>
      <c r="K2" s="479" t="s">
        <v>1</v>
      </c>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1"/>
      <c r="AO2" s="469" t="s">
        <v>9</v>
      </c>
      <c r="AP2" s="476"/>
      <c r="AQ2" s="476"/>
      <c r="AR2" s="476"/>
      <c r="AS2" s="476"/>
      <c r="AT2" s="476"/>
      <c r="AU2" s="404"/>
    </row>
    <row r="3" spans="1:92">
      <c r="C3" s="491"/>
      <c r="D3" s="492"/>
      <c r="E3" s="492"/>
      <c r="F3" s="492"/>
      <c r="G3" s="492"/>
      <c r="H3" s="492"/>
      <c r="I3" s="492"/>
      <c r="J3" s="493"/>
      <c r="K3" s="482"/>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4"/>
      <c r="AO3" s="470" t="s">
        <v>3</v>
      </c>
      <c r="AP3" s="477"/>
      <c r="AQ3" s="477"/>
      <c r="AR3" s="477"/>
      <c r="AS3" s="477"/>
      <c r="AT3" s="477"/>
      <c r="AU3" s="406"/>
    </row>
    <row r="4" spans="1:92">
      <c r="C4" s="491"/>
      <c r="D4" s="492"/>
      <c r="E4" s="492"/>
      <c r="F4" s="492"/>
      <c r="G4" s="492"/>
      <c r="H4" s="492"/>
      <c r="I4" s="492"/>
      <c r="J4" s="493"/>
      <c r="K4" s="482"/>
      <c r="L4" s="483"/>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4"/>
      <c r="AO4" s="470" t="s">
        <v>4</v>
      </c>
      <c r="AP4" s="477" t="s">
        <v>365</v>
      </c>
      <c r="AQ4" s="477"/>
      <c r="AR4" s="477"/>
      <c r="AS4" s="477"/>
      <c r="AT4" s="477"/>
      <c r="AU4" s="406"/>
    </row>
    <row r="5" spans="1:92" ht="15.75" thickBot="1">
      <c r="C5" s="494"/>
      <c r="D5" s="495"/>
      <c r="E5" s="495"/>
      <c r="F5" s="495"/>
      <c r="G5" s="495"/>
      <c r="H5" s="495"/>
      <c r="I5" s="495"/>
      <c r="J5" s="496"/>
      <c r="K5" s="485"/>
      <c r="L5" s="486"/>
      <c r="M5" s="486"/>
      <c r="N5" s="486"/>
      <c r="O5" s="486"/>
      <c r="P5" s="486"/>
      <c r="Q5" s="486"/>
      <c r="R5" s="486"/>
      <c r="S5" s="486"/>
      <c r="T5" s="486"/>
      <c r="U5" s="486"/>
      <c r="V5" s="486"/>
      <c r="W5" s="486"/>
      <c r="X5" s="486"/>
      <c r="Y5" s="486"/>
      <c r="Z5" s="486"/>
      <c r="AA5" s="486"/>
      <c r="AB5" s="486"/>
      <c r="AC5" s="486"/>
      <c r="AD5" s="486"/>
      <c r="AE5" s="486"/>
      <c r="AF5" s="486"/>
      <c r="AG5" s="486"/>
      <c r="AH5" s="486"/>
      <c r="AI5" s="486"/>
      <c r="AJ5" s="486"/>
      <c r="AK5" s="486"/>
      <c r="AL5" s="486"/>
      <c r="AM5" s="486"/>
      <c r="AN5" s="487"/>
      <c r="AO5" s="471" t="s">
        <v>5</v>
      </c>
      <c r="AP5" s="478" t="s">
        <v>5</v>
      </c>
      <c r="AQ5" s="478"/>
      <c r="AR5" s="478"/>
      <c r="AS5" s="478"/>
      <c r="AT5" s="478"/>
      <c r="AU5" s="408"/>
    </row>
    <row r="7" spans="1:92">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c r="A8" s="633" t="s">
        <v>15</v>
      </c>
      <c r="B8" s="633"/>
      <c r="C8" s="612" t="s">
        <v>382</v>
      </c>
      <c r="D8" s="613"/>
      <c r="E8" s="613"/>
      <c r="F8" s="613"/>
      <c r="G8" s="613"/>
      <c r="H8" s="613"/>
      <c r="I8" s="613"/>
      <c r="J8" s="613"/>
      <c r="K8" s="614" t="s">
        <v>28</v>
      </c>
      <c r="L8" s="614"/>
      <c r="M8" s="614"/>
      <c r="N8" s="614"/>
      <c r="O8" s="614"/>
      <c r="P8" s="614"/>
      <c r="Q8" s="614"/>
      <c r="R8" s="614"/>
      <c r="S8" s="614"/>
      <c r="T8" s="614"/>
      <c r="U8" s="614"/>
      <c r="V8" s="614"/>
      <c r="W8" s="614"/>
      <c r="X8" s="614"/>
      <c r="Y8" s="614"/>
      <c r="Z8" s="614"/>
      <c r="AA8" s="614"/>
      <c r="AB8" s="614"/>
      <c r="AC8" s="614"/>
      <c r="AD8" s="614"/>
      <c r="AE8" s="614"/>
      <c r="AF8" s="614"/>
      <c r="AG8" s="614"/>
      <c r="AH8" s="614"/>
      <c r="AI8" s="614"/>
      <c r="AJ8" s="614"/>
      <c r="AK8" s="614"/>
      <c r="AL8" s="614"/>
      <c r="AM8" s="614"/>
      <c r="AN8" s="614"/>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c r="B9" s="68"/>
      <c r="C9" s="613"/>
      <c r="D9" s="613"/>
      <c r="E9" s="613"/>
      <c r="F9" s="613"/>
      <c r="G9" s="613"/>
      <c r="H9" s="613"/>
      <c r="I9" s="613"/>
      <c r="J9" s="613"/>
      <c r="K9" s="614"/>
      <c r="L9" s="614"/>
      <c r="M9" s="614"/>
      <c r="N9" s="614"/>
      <c r="O9" s="614"/>
      <c r="P9" s="614"/>
      <c r="Q9" s="614"/>
      <c r="R9" s="614"/>
      <c r="S9" s="614"/>
      <c r="T9" s="614"/>
      <c r="U9" s="614"/>
      <c r="V9" s="614"/>
      <c r="W9" s="614"/>
      <c r="X9" s="614"/>
      <c r="Y9" s="614"/>
      <c r="Z9" s="614"/>
      <c r="AA9" s="614"/>
      <c r="AB9" s="614"/>
      <c r="AC9" s="614"/>
      <c r="AD9" s="614"/>
      <c r="AE9" s="614"/>
      <c r="AF9" s="614"/>
      <c r="AG9" s="614"/>
      <c r="AH9" s="614"/>
      <c r="AI9" s="614"/>
      <c r="AJ9" s="614"/>
      <c r="AK9" s="614"/>
      <c r="AL9" s="614"/>
      <c r="AM9" s="614"/>
      <c r="AN9" s="614"/>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c r="B10" s="68"/>
      <c r="C10" s="613"/>
      <c r="D10" s="613"/>
      <c r="E10" s="613"/>
      <c r="F10" s="613"/>
      <c r="G10" s="613"/>
      <c r="H10" s="613"/>
      <c r="I10" s="613"/>
      <c r="J10" s="613"/>
      <c r="K10" s="614"/>
      <c r="L10" s="614"/>
      <c r="M10" s="614"/>
      <c r="N10" s="614"/>
      <c r="O10" s="614"/>
      <c r="P10" s="614"/>
      <c r="Q10" s="614"/>
      <c r="R10" s="614"/>
      <c r="S10" s="614"/>
      <c r="T10" s="614"/>
      <c r="U10" s="614"/>
      <c r="V10" s="614"/>
      <c r="W10" s="614"/>
      <c r="X10" s="614"/>
      <c r="Y10" s="614"/>
      <c r="Z10" s="614"/>
      <c r="AA10" s="614"/>
      <c r="AB10" s="614"/>
      <c r="AC10" s="614"/>
      <c r="AD10" s="614"/>
      <c r="AE10" s="614"/>
      <c r="AF10" s="614"/>
      <c r="AG10" s="614"/>
      <c r="AH10" s="614"/>
      <c r="AI10" s="614"/>
      <c r="AJ10" s="614"/>
      <c r="AK10" s="614"/>
      <c r="AL10" s="614"/>
      <c r="AM10" s="614"/>
      <c r="AN10" s="614"/>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5.75" thickBot="1">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c r="B12" s="68"/>
      <c r="C12" s="497" t="s">
        <v>367</v>
      </c>
      <c r="D12" s="497"/>
      <c r="E12" s="498"/>
      <c r="F12" s="584" t="s">
        <v>368</v>
      </c>
      <c r="G12" s="585"/>
      <c r="H12" s="585"/>
      <c r="I12" s="585"/>
      <c r="J12" s="585"/>
      <c r="K12" s="32"/>
      <c r="L12" s="33" t="str">
        <f>IF(AND('Mapa final'!$AH$16="Muy Alta",'Mapa final'!$AJ$16="Leve"),CONCATENATE("R2C",'Mapa final'!$R$15),"")</f>
        <v/>
      </c>
      <c r="M12" s="33" t="str">
        <f>IF(AND('Mapa final'!$AH$17="Muy Alta",'Mapa final'!$AJ$17="Leve"),CONCATENATE("R2C",'Mapa final'!$R$17),"")</f>
        <v/>
      </c>
      <c r="N12" s="33" t="str">
        <f>IF(AND('Mapa final'!$AH$20="Muy Alta",'Mapa final'!$AJ$20="Leve"),CONCATENATE("R2C",'Mapa final'!$R$20),"")</f>
        <v/>
      </c>
      <c r="O12" s="33" t="str">
        <f>IF(AND('Mapa final'!$AH$21="Muy Alta",'Mapa final'!$AJ$21="Leve"),CONCATENATE("R2C",'Mapa final'!$R$21),"")</f>
        <v/>
      </c>
      <c r="P12" s="34" t="str">
        <f>IF(AND('Mapa final'!$AH$22="Muy Alta",'Mapa final'!$AJ$22="Leve"),CONCATENATE("R2C",'Mapa final'!$R$22),"")</f>
        <v/>
      </c>
      <c r="Q12" s="33"/>
      <c r="R12" s="33" t="str">
        <f>IF(AND('Mapa final'!$AH$16="Muy Alta",'Mapa final'!$AJ$16="Menore"),CONCATENATE("R2C",'Mapa final'!$R$15),"")</f>
        <v/>
      </c>
      <c r="S12" s="33" t="str">
        <f>IF(AND('Mapa final'!$AH$17="Muy Alta",'Mapa final'!$AJ$17="Menor"),CONCATENATE("R2C",'Mapa final'!$R$17),"")</f>
        <v/>
      </c>
      <c r="T12" s="33" t="str">
        <f>IF(AND('Mapa final'!$AH$20="Muy Alta",'Mapa final'!$AJ$20="Menor"),CONCATENATE("R2C",'Mapa final'!$R$20),"")</f>
        <v/>
      </c>
      <c r="U12" s="33" t="str">
        <f>IF(AND('Mapa final'!$AH$21="Muy Alta",'Mapa final'!$AJ$21="Menor"),CONCATENATE("R2C",'Mapa final'!$R$21),"")</f>
        <v/>
      </c>
      <c r="V12" s="34" t="str">
        <f>IF(AND('Mapa final'!$AH$22="Muy Alta",'Mapa final'!$AJ$22="Menor"),CONCATENATE("R2C",'Mapa final'!$R$22),"")</f>
        <v/>
      </c>
      <c r="W12" s="32"/>
      <c r="X12" s="33" t="str">
        <f>IF(AND('Mapa final'!$AH$16="Muy Alta",'Mapa final'!$AJ$16="Moderado"),CONCATENATE("R2C",'Mapa final'!$R$15),"")</f>
        <v/>
      </c>
      <c r="Y12" s="33"/>
      <c r="Z12" s="33" t="str">
        <f>IF(AND('Mapa final'!$AH$20="Muy Alta",'Mapa final'!$AJ$20="Moderado"),CONCATENATE("R2C",'Mapa final'!$R$20),"")</f>
        <v/>
      </c>
      <c r="AA12" s="33" t="str">
        <f>IF(AND('Mapa final'!$AH$21="Muy Alta",'Mapa final'!$AJ$21="Moderado"),CONCATENATE("R2C",'Mapa final'!$R$21),"")</f>
        <v/>
      </c>
      <c r="AB12" s="34" t="str">
        <f>IF(AND('Mapa final'!$AH$22="Muy Alta",'Mapa final'!$AJ$22="Moderado"),CONCATENATE("R2C",'Mapa final'!$R$22),"")</f>
        <v/>
      </c>
      <c r="AC12" s="32"/>
      <c r="AD12" s="33" t="str">
        <f>IF(AND('Mapa final'!$AH$16="Muy Alta",'Mapa final'!$AJ$16="Mayor"),CONCATENATE("R2C",'Mapa final'!$R$15),"")</f>
        <v/>
      </c>
      <c r="AE12" s="33" t="str">
        <f>IF(AND('Mapa final'!$AH$17="Muy Alta",'Mapa final'!$AJ$17="Mayor"),CONCATENATE("R2C",'Mapa final'!$R$17),"")</f>
        <v/>
      </c>
      <c r="AF12" s="33" t="str">
        <f>IF(AND('Mapa final'!$AH$20="Muy Alta",'Mapa final'!$AJ$20="Mayor"),CONCATENATE("R2C",'Mapa final'!$R$20),"")</f>
        <v/>
      </c>
      <c r="AG12" s="33" t="str">
        <f>IF(AND('Mapa final'!$AH$21="Muy Alta",'Mapa final'!$AJ$21="Mayor"),CONCATENATE("R2C",'Mapa final'!$R$21),"")</f>
        <v/>
      </c>
      <c r="AH12" s="34" t="str">
        <f>IF(AND('Mapa final'!$AH$22="Muy Alta",'Mapa final'!$AJ$22="Mayor"),CONCATENATE("R2C",'Mapa final'!$R$22),"")</f>
        <v/>
      </c>
      <c r="AI12" s="35"/>
      <c r="AJ12" s="36" t="str">
        <f>IF(AND('Mapa final'!$AH$16="Muy Alta",'Mapa final'!$AJ$16="Catastrófico"),CONCATENATE("R2C",'Mapa final'!$R$15),"")</f>
        <v/>
      </c>
      <c r="AK12" s="36" t="str">
        <f>IF(AND('Mapa final'!$AH$17="Muy Alta",'Mapa final'!$AJ$17="Catastrófico"),CONCATENATE("R2C",'Mapa final'!$R$17),"")</f>
        <v/>
      </c>
      <c r="AL12" s="36" t="str">
        <f>IF(AND('Mapa final'!$AH$20="Muy Alta",'Mapa final'!$AJ$20="Catastrófico"),CONCATENATE("R2C",'Mapa final'!$R$20),"")</f>
        <v/>
      </c>
      <c r="AM12" s="36" t="str">
        <f>IF(AND('Mapa final'!$AH$21="Muy Alta",'Mapa final'!$AJ$21="Catastrófico"),CONCATENATE("R2C",'Mapa final'!$R$21),"")</f>
        <v/>
      </c>
      <c r="AN12" s="37" t="str">
        <f>IF(AND('Mapa final'!$AH$22="Muy Alta",'Mapa final'!$AJ$22="Catastrófico"),CONCATENATE("R2C",'Mapa final'!$R$22),"")</f>
        <v/>
      </c>
      <c r="AO12" s="68"/>
      <c r="AP12" s="603" t="s">
        <v>369</v>
      </c>
      <c r="AQ12" s="604"/>
      <c r="AR12" s="604"/>
      <c r="AS12" s="604"/>
      <c r="AT12" s="604"/>
      <c r="AU12" s="605"/>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c r="B13" s="68"/>
      <c r="C13" s="497"/>
      <c r="D13" s="497"/>
      <c r="E13" s="498"/>
      <c r="F13" s="587"/>
      <c r="G13" s="588"/>
      <c r="H13" s="588"/>
      <c r="I13" s="588"/>
      <c r="J13" s="588"/>
      <c r="K13" s="38" t="str">
        <f>IF(AND('Mapa final'!$AH$23="Muy Alta",'Mapa final'!$AJ$23="Leve"),CONCATENATE("R2C",'Mapa final'!$R$23),"")</f>
        <v/>
      </c>
      <c r="L13" s="39" t="str">
        <f>IF(AND('Mapa final'!$AH$24="Muy Alta",'Mapa final'!$AJ$24="Leve"),CONCATENATE("R2C",'Mapa final'!$R$24),"")</f>
        <v/>
      </c>
      <c r="M13" s="39" t="str">
        <f>IF(AND('Mapa final'!$AH$33="Muy Alta",'Mapa final'!$AJ$33="Leve"),CONCATENATE("R2C",'Mapa final'!$R$33),"")</f>
        <v/>
      </c>
      <c r="N13" s="39" t="str">
        <f>IF(AND('Mapa final'!$AH$34="Muy Alta",'Mapa final'!$AJ$34="Leve"),CONCATENATE("R2C",'Mapa final'!$R$34),"")</f>
        <v/>
      </c>
      <c r="O13" s="39" t="str">
        <f>IF(AND('Mapa final'!$AH$35="Muy Alta",'Mapa final'!$AJ$35="Leve"),CONCATENATE("R2C",'Mapa final'!$R$35),"")</f>
        <v/>
      </c>
      <c r="P13" s="40" t="str">
        <f>IF(AND('Mapa final'!$AH$36="Muy Alta",'Mapa final'!$AJ$36="Leve"),CONCATENATE("R2C",'Mapa final'!$R$36),"")</f>
        <v/>
      </c>
      <c r="Q13" s="39" t="str">
        <f>IF(AND('Mapa final'!$AH$23="Muy Alta",'Mapa final'!$AJ$23="Menor"),CONCATENATE("R2C",'Mapa final'!$R$23),"")</f>
        <v/>
      </c>
      <c r="R13" s="39" t="str">
        <f>IF(AND('Mapa final'!$AH$24="Muy Alta",'Mapa final'!$AJ$24="Menor"),CONCATENATE("R2C",'Mapa final'!$R$24),"")</f>
        <v/>
      </c>
      <c r="S13" s="39" t="str">
        <f>IF(AND('Mapa final'!$AH$33="Muy Alta",'Mapa final'!$AJ$33="Menor"),CONCATENATE("R2C",'Mapa final'!$R$33),"")</f>
        <v/>
      </c>
      <c r="T13" s="39" t="str">
        <f>IF(AND('Mapa final'!$AH$34="Muy Alta",'Mapa final'!$AJ$34="Menor"),CONCATENATE("R2C",'Mapa final'!$R$34),"")</f>
        <v/>
      </c>
      <c r="U13" s="39" t="str">
        <f>IF(AND('Mapa final'!$AH$35="Muy Alta",'Mapa final'!$AJ$35="Menor"),CONCATENATE("R2C",'Mapa final'!$R$35),"")</f>
        <v/>
      </c>
      <c r="V13" s="40" t="str">
        <f>IF(AND('Mapa final'!$AH$36="Muy Alta",'Mapa final'!$AJ$36="Menor"),CONCATENATE("R2C",'Mapa final'!$R$36),"")</f>
        <v/>
      </c>
      <c r="W13" s="38" t="str">
        <f>IF(AND('Mapa final'!$AH$23="Muy Alta",'Mapa final'!$AJ$23="Moderado"),CONCATENATE("R2C",'Mapa final'!$R$23),"")</f>
        <v/>
      </c>
      <c r="X13" s="39" t="str">
        <f>IF(AND('Mapa final'!$AH$24="Muy Alta",'Mapa final'!$AJ$24="Moderado"),CONCATENATE("R2C",'Mapa final'!$R$24),"")</f>
        <v/>
      </c>
      <c r="Y13" s="39" t="str">
        <f>IF(AND('Mapa final'!$AH$33="Muy Alta",'Mapa final'!$AJ$33="Moderado"),CONCATENATE("R2C",'Mapa final'!$R$33),"")</f>
        <v/>
      </c>
      <c r="Z13" s="39" t="str">
        <f>IF(AND('Mapa final'!$AH$34="Muy Alta",'Mapa final'!$AJ$34="Moderado"),CONCATENATE("R2C",'Mapa final'!$R$34),"")</f>
        <v/>
      </c>
      <c r="AA13" s="39" t="str">
        <f>IF(AND('Mapa final'!$AH$35="Muy Alta",'Mapa final'!$AJ$35="Moderado"),CONCATENATE("R2C",'Mapa final'!$R$35),"")</f>
        <v/>
      </c>
      <c r="AB13" s="40" t="str">
        <f>IF(AND('Mapa final'!$AH$36="Muy Alta",'Mapa final'!$AJ$36="Moderado"),CONCATENATE("R2C",'Mapa final'!$R$36),"")</f>
        <v/>
      </c>
      <c r="AC13" s="38" t="str">
        <f>IF(AND('Mapa final'!$AH$23="Muy Alta",'Mapa final'!$AJ$23="Mayor"),CONCATENATE("R2C",'Mapa final'!$R$23),"")</f>
        <v/>
      </c>
      <c r="AD13" s="39" t="str">
        <f>IF(AND('Mapa final'!$AH$24="Muy Alta",'Mapa final'!$AJ$24="Mayor"),CONCATENATE("R2C",'Mapa final'!$R$24),"")</f>
        <v/>
      </c>
      <c r="AE13" s="39" t="str">
        <f>IF(AND('Mapa final'!$AH$33="Muy Alta",'Mapa final'!$AJ$33="Mayor"),CONCATENATE("R2C",'Mapa final'!$R$33),"")</f>
        <v/>
      </c>
      <c r="AF13" s="39" t="str">
        <f>IF(AND('Mapa final'!$AH$34="Muy Alta",'Mapa final'!$AJ$34="Mayor"),CONCATENATE("R2C",'Mapa final'!$R$34),"")</f>
        <v/>
      </c>
      <c r="AG13" s="39" t="str">
        <f>IF(AND('Mapa final'!$AH$35="Muy Alta",'Mapa final'!$AJ$35="Mayor"),CONCATENATE("R2C",'Mapa final'!$R$35),"")</f>
        <v/>
      </c>
      <c r="AH13" s="40" t="str">
        <f>IF(AND('Mapa final'!$AH$36="Muy Alta",'Mapa final'!$AJ$36="Mayor"),CONCATENATE("R2C",'Mapa final'!$R$36),"")</f>
        <v/>
      </c>
      <c r="AI13" s="41" t="str">
        <f>IF(AND('Mapa final'!$AH$23="Muy Alta",'Mapa final'!$AJ$23="Catastrófico"),CONCATENATE("R2C",'Mapa final'!$R$23),"")</f>
        <v/>
      </c>
      <c r="AJ13" s="42" t="str">
        <f>IF(AND('Mapa final'!$AH$24="Muy Alta",'Mapa final'!$AJ$24="Catastrófico"),CONCATENATE("R2C",'Mapa final'!$R$24),"")</f>
        <v/>
      </c>
      <c r="AK13" s="42" t="str">
        <f>IF(AND('Mapa final'!$AH$33="Muy Alta",'Mapa final'!$AJ$33="Catastrófico"),CONCATENATE("R2C",'Mapa final'!$R$33),"")</f>
        <v/>
      </c>
      <c r="AL13" s="42" t="str">
        <f>IF(AND('Mapa final'!$AH$34="Muy Alta",'Mapa final'!$AJ$34="Catastrófico"),CONCATENATE("R2C",'Mapa final'!$R$34),"")</f>
        <v/>
      </c>
      <c r="AM13" s="42" t="str">
        <f>IF(AND('Mapa final'!$AH$35="Muy Alta",'Mapa final'!$AJ$35="Catastrófico"),CONCATENATE("R2C",'Mapa final'!$R$35),"")</f>
        <v/>
      </c>
      <c r="AN13" s="43" t="str">
        <f>IF(AND('Mapa final'!$AH$36="Muy Alta",'Mapa final'!$AJ$36="Catastrófico"),CONCATENATE("R2C",'Mapa final'!$R$36),"")</f>
        <v/>
      </c>
      <c r="AO13" s="68"/>
      <c r="AP13" s="606"/>
      <c r="AQ13" s="607"/>
      <c r="AR13" s="607"/>
      <c r="AS13" s="607"/>
      <c r="AT13" s="607"/>
      <c r="AU13" s="60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c r="B14" s="68"/>
      <c r="C14" s="497"/>
      <c r="D14" s="497"/>
      <c r="E14" s="498"/>
      <c r="F14" s="587"/>
      <c r="G14" s="588"/>
      <c r="H14" s="588"/>
      <c r="I14" s="588"/>
      <c r="J14" s="588"/>
      <c r="K14" s="38" t="str">
        <f>IF(AND('Mapa final'!$AH$37="Muy Alta",'Mapa final'!$AJ$37="Leve"),CONCATENATE("R2C",'Mapa final'!$R$37),"")</f>
        <v/>
      </c>
      <c r="L14" s="39" t="str">
        <f>IF(AND('Mapa final'!$AH$38="Muy Alta",'Mapa final'!$AJ$38="Leve"),CONCATENATE("R2C",'Mapa final'!$R$38),"")</f>
        <v/>
      </c>
      <c r="M14" s="39" t="str">
        <f>IF(AND('Mapa final'!$AH$39="Muy Alta",'Mapa final'!$AJ$39="Leve"),CONCATENATE("R2C",'Mapa final'!$R$39),"")</f>
        <v/>
      </c>
      <c r="N14" s="39" t="str">
        <f>IF(AND('Mapa final'!$AH$40="Muy Alta",'Mapa final'!$AJ$40="Leve"),CONCATENATE("R2C",'Mapa final'!$R$40),"")</f>
        <v/>
      </c>
      <c r="O14" s="39" t="str">
        <f>IF(AND('Mapa final'!$AH$41="Muy Alta",'Mapa final'!$AJ$41="Leve"),CONCATENATE("R2C",'Mapa final'!$R$41),"")</f>
        <v/>
      </c>
      <c r="P14" s="40" t="str">
        <f>IF(AND('Mapa final'!$AH$42="Muy Alta",'Mapa final'!$AJ$42="Leve"),CONCATENATE("R2C",'Mapa final'!$R$42),"")</f>
        <v/>
      </c>
      <c r="Q14" s="39" t="str">
        <f>IF(AND('Mapa final'!$AH$37="Muy Alta",'Mapa final'!$AJ$37="Menor"),CONCATENATE("R2C",'Mapa final'!$R$37),"")</f>
        <v/>
      </c>
      <c r="R14" s="39" t="str">
        <f>IF(AND('Mapa final'!$AH$38="Muy Alta",'Mapa final'!$AJ$38="Menor"),CONCATENATE("R2C",'Mapa final'!$R$38),"")</f>
        <v/>
      </c>
      <c r="S14" s="39" t="str">
        <f>IF(AND('Mapa final'!$AH$39="Muy Alta",'Mapa final'!$AJ$39="Menor"),CONCATENATE("R2C",'Mapa final'!$R$39),"")</f>
        <v/>
      </c>
      <c r="T14" s="39" t="str">
        <f>IF(AND('Mapa final'!$AH$40="Muy Alta",'Mapa final'!$AJ$40="Menor"),CONCATENATE("R2C",'Mapa final'!$R$40),"")</f>
        <v/>
      </c>
      <c r="U14" s="39" t="str">
        <f>IF(AND('Mapa final'!$AH$41="Muy Alta",'Mapa final'!$AJ$41="Menor"),CONCATENATE("R2C",'Mapa final'!$R$41),"")</f>
        <v/>
      </c>
      <c r="V14" s="40" t="str">
        <f>IF(AND('Mapa final'!$AH$42="Muy Alta",'Mapa final'!$AJ$42="Menor"),CONCATENATE("R2C",'Mapa final'!$R$42),"")</f>
        <v/>
      </c>
      <c r="W14" s="38" t="str">
        <f>IF(AND('Mapa final'!$AH$37="Muy Alta",'Mapa final'!$AJ$37="Moderado"),CONCATENATE("R2C",'Mapa final'!$R$37),"")</f>
        <v/>
      </c>
      <c r="X14" s="39" t="str">
        <f>IF(AND('Mapa final'!$AH$38="Muy Alta",'Mapa final'!$AJ$38="Moderado"),CONCATENATE("R2C",'Mapa final'!$R$38),"")</f>
        <v/>
      </c>
      <c r="Y14" s="39" t="str">
        <f>IF(AND('Mapa final'!$AH$39="Muy Alta",'Mapa final'!$AJ$39="Moderado"),CONCATENATE("R2C",'Mapa final'!$R$39),"")</f>
        <v/>
      </c>
      <c r="Z14" s="39" t="str">
        <f>IF(AND('Mapa final'!$AH$40="Muy Alta",'Mapa final'!$AJ$40="Moderado"),CONCATENATE("R2C",'Mapa final'!$R$40),"")</f>
        <v/>
      </c>
      <c r="AA14" s="39" t="str">
        <f>IF(AND('Mapa final'!$AH$41="Muy Alta",'Mapa final'!$AJ$41="Moderado"),CONCATENATE("R2C",'Mapa final'!$R$41),"")</f>
        <v/>
      </c>
      <c r="AB14" s="40" t="str">
        <f>IF(AND('Mapa final'!$AH$42="Muy Alta",'Mapa final'!$AJ$42="Moderado"),CONCATENATE("R2C",'Mapa final'!$R$42),"")</f>
        <v/>
      </c>
      <c r="AC14" s="38" t="str">
        <f>IF(AND('Mapa final'!$AH$37="Muy Alta",'Mapa final'!$AJ$37="Mayor"),CONCATENATE("R2C",'Mapa final'!$R$37),"")</f>
        <v/>
      </c>
      <c r="AD14" s="39" t="str">
        <f>IF(AND('Mapa final'!$AH$38="Muy Alta",'Mapa final'!$AJ$38="Mayor"),CONCATENATE("R2C",'Mapa final'!$R$38),"")</f>
        <v/>
      </c>
      <c r="AE14" s="39" t="str">
        <f>IF(AND('Mapa final'!$AH$39="Muy Alta",'Mapa final'!$AJ$39="Mayor"),CONCATENATE("R2C",'Mapa final'!$R$39),"")</f>
        <v/>
      </c>
      <c r="AF14" s="39" t="str">
        <f>IF(AND('Mapa final'!$AH$40="Muy Alta",'Mapa final'!$AJ$40="Mayor"),CONCATENATE("R2C",'Mapa final'!$R$40),"")</f>
        <v/>
      </c>
      <c r="AG14" s="39" t="str">
        <f>IF(AND('Mapa final'!$AH$41="Muy Alta",'Mapa final'!$AJ$41="Mayor"),CONCATENATE("R2C",'Mapa final'!$R$41),"")</f>
        <v/>
      </c>
      <c r="AH14" s="40" t="str">
        <f>IF(AND('Mapa final'!$AH$42="Muy Alta",'Mapa final'!$AJ$42="Mayor"),CONCATENATE("R2C",'Mapa final'!$R$42),"")</f>
        <v/>
      </c>
      <c r="AI14" s="41" t="str">
        <f>IF(AND('Mapa final'!$AH$37="Muy Alta",'Mapa final'!$AJ$37="Catastrófico"),CONCATENATE("R2C",'Mapa final'!$R$37),"")</f>
        <v/>
      </c>
      <c r="AJ14" s="42" t="str">
        <f>IF(AND('Mapa final'!$AH$38="Muy Alta",'Mapa final'!$AJ$38="Catastrófico"),CONCATENATE("R2C",'Mapa final'!$R$38),"")</f>
        <v/>
      </c>
      <c r="AK14" s="42" t="str">
        <f>IF(AND('Mapa final'!$AH$39="Muy Alta",'Mapa final'!$AJ$39="Catastrófico"),CONCATENATE("R2C",'Mapa final'!$R$39),"")</f>
        <v/>
      </c>
      <c r="AL14" s="42" t="str">
        <f>IF(AND('Mapa final'!$AH$40="Muy Alta",'Mapa final'!$AJ$40="Catastrófico"),CONCATENATE("R2C",'Mapa final'!$R$40),"")</f>
        <v/>
      </c>
      <c r="AM14" s="42" t="str">
        <f>IF(AND('Mapa final'!$AH$41="Muy Alta",'Mapa final'!$AJ$41="Catastrófico"),CONCATENATE("R2C",'Mapa final'!$R$41),"")</f>
        <v/>
      </c>
      <c r="AN14" s="43" t="str">
        <f>IF(AND('Mapa final'!$AH$42="Muy Alta",'Mapa final'!$AJ$42="Catastrófico"),CONCATENATE("R2C",'Mapa final'!$R$42),"")</f>
        <v/>
      </c>
      <c r="AO14" s="68"/>
      <c r="AP14" s="606"/>
      <c r="AQ14" s="607"/>
      <c r="AR14" s="607"/>
      <c r="AS14" s="607"/>
      <c r="AT14" s="607"/>
      <c r="AU14" s="60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c r="B15" s="68"/>
      <c r="C15" s="497"/>
      <c r="D15" s="497"/>
      <c r="E15" s="498"/>
      <c r="F15" s="587"/>
      <c r="G15" s="588"/>
      <c r="H15" s="588"/>
      <c r="I15" s="588"/>
      <c r="J15" s="588"/>
      <c r="K15" s="38" t="str">
        <f>IF(AND('Mapa final'!$AH$43="Muy Alta",'Mapa final'!$AJ$43="Leve"),CONCATENATE("R2C",'Mapa final'!$R$43),"")</f>
        <v/>
      </c>
      <c r="L15" s="39" t="str">
        <f>IF(AND('Mapa final'!$AH$44="Muy Alta",'Mapa final'!$AJ$44="Leve"),CONCATENATE("R2C",'Mapa final'!$R$44),"")</f>
        <v/>
      </c>
      <c r="M15" s="39" t="str">
        <f>IF(AND('Mapa final'!$AH$45="Muy Alta",'Mapa final'!$AJ$45="Leve"),CONCATENATE("R2C",'Mapa final'!$R$45),"")</f>
        <v/>
      </c>
      <c r="N15" s="39" t="str">
        <f>IF(AND('Mapa final'!$AH$46="Muy Alta",'Mapa final'!$AJ$46="Leve"),CONCATENATE("R2C",'Mapa final'!$R$46),"")</f>
        <v/>
      </c>
      <c r="O15" s="39" t="str">
        <f>IF(AND('Mapa final'!$AH$47="Muy Alta",'Mapa final'!$AJ$47="Leve"),CONCATENATE("R2C",'Mapa final'!$R$47),"")</f>
        <v/>
      </c>
      <c r="P15" s="40" t="str">
        <f>IF(AND('Mapa final'!$AH$48="Muy Alta",'Mapa final'!$AJ$48="Leve"),CONCATENATE("R2C",'Mapa final'!$R$48),"")</f>
        <v/>
      </c>
      <c r="Q15" s="39" t="str">
        <f>IF(AND('Mapa final'!$AH$43="Muy Alta",'Mapa final'!$AJ$43="Menor"),CONCATENATE("R2C",'Mapa final'!$R$43),"")</f>
        <v/>
      </c>
      <c r="R15" s="39" t="str">
        <f>IF(AND('Mapa final'!$AH$44="Muy Alta",'Mapa final'!$AJ$44="Menor"),CONCATENATE("R2C",'Mapa final'!$R$44),"")</f>
        <v/>
      </c>
      <c r="S15" s="39" t="str">
        <f>IF(AND('Mapa final'!$AH$45="Muy Alta",'Mapa final'!$AJ$45="Menor"),CONCATENATE("R2C",'Mapa final'!$R$45),"")</f>
        <v/>
      </c>
      <c r="T15" s="39" t="str">
        <f>IF(AND('Mapa final'!$AH$46="Muy Alta",'Mapa final'!$AJ$46="Menor"),CONCATENATE("R2C",'Mapa final'!$R$46),"")</f>
        <v/>
      </c>
      <c r="U15" s="39" t="str">
        <f>IF(AND('Mapa final'!$AH$47="Muy Alta",'Mapa final'!$AJ$47="LMenor"),CONCATENATE("R2C",'Mapa final'!$R$47),"")</f>
        <v/>
      </c>
      <c r="V15" s="40" t="str">
        <f>IF(AND('Mapa final'!$AH$48="Muy Alta",'Mapa final'!$AJ$48="Menor"),CONCATENATE("R2C",'Mapa final'!$R$48),"")</f>
        <v/>
      </c>
      <c r="W15" s="38" t="str">
        <f>IF(AND('Mapa final'!$AH$43="Muy Alta",'Mapa final'!$AJ$43="Moderado"),CONCATENATE("R2C",'Mapa final'!$R$43),"")</f>
        <v/>
      </c>
      <c r="X15" s="39" t="str">
        <f>IF(AND('Mapa final'!$AH$44="Muy Alta",'Mapa final'!$AJ$44="Moderado"),CONCATENATE("R2C",'Mapa final'!$R$44),"")</f>
        <v/>
      </c>
      <c r="Y15" s="39" t="str">
        <f>IF(AND('Mapa final'!$AH$45="Muy Alta",'Mapa final'!$AJ$45="Moderado"),CONCATENATE("R2C",'Mapa final'!$R$45),"")</f>
        <v/>
      </c>
      <c r="Z15" s="39" t="str">
        <f>IF(AND('Mapa final'!$AH$46="Muy Alta",'Mapa final'!$AJ$46="Moderado"),CONCATENATE("R2C",'Mapa final'!$R$46),"")</f>
        <v/>
      </c>
      <c r="AA15" s="39" t="str">
        <f>IF(AND('Mapa final'!$AH$47="Muy Alta",'Mapa final'!$AJ$47="Moderado"),CONCATENATE("R2C",'Mapa final'!$R$47),"")</f>
        <v/>
      </c>
      <c r="AB15" s="40" t="str">
        <f>IF(AND('Mapa final'!$AH$48="Muy Alta",'Mapa final'!$AJ$48="Moderado"),CONCATENATE("R2C",'Mapa final'!$R$48),"")</f>
        <v/>
      </c>
      <c r="AC15" s="38" t="str">
        <f>IF(AND('Mapa final'!$AH$43="Muy Alta",'Mapa final'!$AJ$43="Mayor"),CONCATENATE("R2C",'Mapa final'!$R$43),"")</f>
        <v/>
      </c>
      <c r="AD15" s="39" t="str">
        <f>IF(AND('Mapa final'!$AH$44="Muy Alta",'Mapa final'!$AJ$44="Mayor"),CONCATENATE("R2C",'Mapa final'!$R$44),"")</f>
        <v/>
      </c>
      <c r="AE15" s="39" t="str">
        <f>IF(AND('Mapa final'!$AH$45="Muy Alta",'Mapa final'!$AJ$45="Mayor"),CONCATENATE("R2C",'Mapa final'!$R$45),"")</f>
        <v/>
      </c>
      <c r="AF15" s="39" t="str">
        <f>IF(AND('Mapa final'!$AH$46="Muy Alta",'Mapa final'!$AJ$46="Mayor"),CONCATENATE("R2C",'Mapa final'!$R$46),"")</f>
        <v/>
      </c>
      <c r="AG15" s="39" t="str">
        <f>IF(AND('Mapa final'!$AH$47="Muy Alta",'Mapa final'!$AJ$47="Mayor"),CONCATENATE("R2C",'Mapa final'!$R$47),"")</f>
        <v/>
      </c>
      <c r="AH15" s="40" t="str">
        <f>IF(AND('Mapa final'!$AH$48="Muy Alta",'Mapa final'!$AJ$48="Mayor"),CONCATENATE("R2C",'Mapa final'!$R$48),"")</f>
        <v/>
      </c>
      <c r="AI15" s="41" t="str">
        <f>IF(AND('Mapa final'!$AH$43="Muy Alta",'Mapa final'!$AJ$43="Catastrófico"),CONCATENATE("R2C",'Mapa final'!$R$43),"")</f>
        <v/>
      </c>
      <c r="AJ15" s="42" t="str">
        <f>IF(AND('Mapa final'!$AH$44="Muy Alta",'Mapa final'!$AJ$44="Catastrófico"),CONCATENATE("R2C",'Mapa final'!$R$44),"")</f>
        <v/>
      </c>
      <c r="AK15" s="42" t="str">
        <f>IF(AND('Mapa final'!$AH$45="Muy Alta",'Mapa final'!$AJ$45="Catastrófico"),CONCATENATE("R2C",'Mapa final'!$R$45),"")</f>
        <v/>
      </c>
      <c r="AL15" s="42" t="str">
        <f>IF(AND('Mapa final'!$AH$46="Muy Alta",'Mapa final'!$AJ$46="Catastrófico"),CONCATENATE("R2C",'Mapa final'!$R$46),"")</f>
        <v/>
      </c>
      <c r="AM15" s="42" t="str">
        <f>IF(AND('Mapa final'!$AH$47="Muy Alta",'Mapa final'!$AJ$47="LCatastrófico"),CONCATENATE("R2C",'Mapa final'!$R$47),"")</f>
        <v/>
      </c>
      <c r="AN15" s="43" t="str">
        <f>IF(AND('Mapa final'!$AH$48="Muy Alta",'Mapa final'!$AJ$48="Catastrófico"),CONCATENATE("R2C",'Mapa final'!$R$48),"")</f>
        <v/>
      </c>
      <c r="AO15" s="68"/>
      <c r="AP15" s="606"/>
      <c r="AQ15" s="607"/>
      <c r="AR15" s="607"/>
      <c r="AS15" s="607"/>
      <c r="AT15" s="607"/>
      <c r="AU15" s="60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c r="B16" s="68"/>
      <c r="C16" s="497"/>
      <c r="D16" s="497"/>
      <c r="E16" s="498"/>
      <c r="F16" s="587"/>
      <c r="G16" s="588"/>
      <c r="H16" s="588"/>
      <c r="I16" s="588"/>
      <c r="J16" s="588"/>
      <c r="K16" s="38" t="str">
        <f>IF(AND('Mapa final'!$AH$49="Muy Alta",'Mapa final'!$AJ$49="Leve"),CONCATENATE("R2C",'Mapa final'!$R$49),"")</f>
        <v/>
      </c>
      <c r="L16" s="39" t="str">
        <f>IF(AND('Mapa final'!$AH$50="Muy Alta",'Mapa final'!$AJ$50="Leve"),CONCATENATE("R2C",'Mapa final'!$R$50),"")</f>
        <v/>
      </c>
      <c r="M16" s="39" t="str">
        <f>IF(AND('Mapa final'!$AH$51="Muy Alta",'Mapa final'!$AJ$51="Leve"),CONCATENATE("R2C",'Mapa final'!$R$51),"")</f>
        <v/>
      </c>
      <c r="N16" s="39" t="str">
        <f>IF(AND('Mapa final'!$AH$52="Muy Alta",'Mapa final'!$AJ$52="Leve"),CONCATENATE("R2C",'Mapa final'!$R$52),"")</f>
        <v/>
      </c>
      <c r="O16" s="39" t="str">
        <f>IF(AND('Mapa final'!$AH$53="Muy Alta",'Mapa final'!$AJ$53="Leve"),CONCATENATE("R2C",'Mapa final'!$R$53),"")</f>
        <v/>
      </c>
      <c r="P16" s="40" t="str">
        <f>IF(AND('Mapa final'!$AH$54="Muy Alta",'Mapa final'!$AJ$54="Leve"),CONCATENATE("R2C",'Mapa final'!$R$54),"")</f>
        <v/>
      </c>
      <c r="Q16" s="39" t="str">
        <f>IF(AND('Mapa final'!$AH$49="Muy Alta",'Mapa final'!$AJ$49="Menor"),CONCATENATE("R2C",'Mapa final'!$R$49),"")</f>
        <v/>
      </c>
      <c r="R16" s="39" t="str">
        <f>IF(AND('Mapa final'!$AH$50="Muy Alta",'Mapa final'!$AJ$50="Menor"),CONCATENATE("R2C",'Mapa final'!$R$50),"")</f>
        <v/>
      </c>
      <c r="S16" s="39" t="str">
        <f>IF(AND('Mapa final'!$AH$51="Muy Alta",'Mapa final'!$AJ$51="Menor"),CONCATENATE("R2C",'Mapa final'!$R$51),"")</f>
        <v/>
      </c>
      <c r="T16" s="39" t="str">
        <f>IF(AND('Mapa final'!$AH$52="Muy Alta",'Mapa final'!$AJ$52="Menor"),CONCATENATE("R2C",'Mapa final'!$R$52),"")</f>
        <v/>
      </c>
      <c r="U16" s="39" t="str">
        <f>IF(AND('Mapa final'!$AH$53="Muy Alta",'Mapa final'!$AJ$53="Menor"),CONCATENATE("R2C",'Mapa final'!$R$53),"")</f>
        <v/>
      </c>
      <c r="V16" s="40" t="str">
        <f>IF(AND('Mapa final'!$AH$54="Muy Alta",'Mapa final'!$AJ$54="Menor"),CONCATENATE("R2C",'Mapa final'!$R$54),"")</f>
        <v/>
      </c>
      <c r="W16" s="38" t="str">
        <f>IF(AND('Mapa final'!$AH$49="Muy Alta",'Mapa final'!$AJ$49="Moderado"),CONCATENATE("R2C",'Mapa final'!$R$49),"")</f>
        <v/>
      </c>
      <c r="X16" s="39" t="str">
        <f>IF(AND('Mapa final'!$AH$50="Muy Alta",'Mapa final'!$AJ$50="Moderado"),CONCATENATE("R2C",'Mapa final'!$R$50),"")</f>
        <v/>
      </c>
      <c r="Y16" s="39" t="str">
        <f>IF(AND('Mapa final'!$AH$51="Muy Alta",'Mapa final'!$AJ$51="Moderado"),CONCATENATE("R2C",'Mapa final'!$R$51),"")</f>
        <v/>
      </c>
      <c r="Z16" s="39" t="str">
        <f>IF(AND('Mapa final'!$AH$52="Muy Alta",'Mapa final'!$AJ$52="Moderado"),CONCATENATE("R2C",'Mapa final'!$R$52),"")</f>
        <v/>
      </c>
      <c r="AA16" s="39" t="str">
        <f>IF(AND('Mapa final'!$AH$53="Muy Alta",'Mapa final'!$AJ$53="Moderado"),CONCATENATE("R2C",'Mapa final'!$R$53),"")</f>
        <v/>
      </c>
      <c r="AB16" s="40" t="str">
        <f>IF(AND('Mapa final'!$AH$54="Muy Alta",'Mapa final'!$AJ$54="Moderado"),CONCATENATE("R2C",'Mapa final'!$R$54),"")</f>
        <v/>
      </c>
      <c r="AC16" s="38" t="str">
        <f>IF(AND('Mapa final'!$AH$49="Muy Alta",'Mapa final'!$AJ$49="Mayor"),CONCATENATE("R2C",'Mapa final'!$R$49),"")</f>
        <v/>
      </c>
      <c r="AD16" s="39" t="str">
        <f>IF(AND('Mapa final'!$AH$50="Muy Alta",'Mapa final'!$AJ$50="Mayor"),CONCATENATE("R2C",'Mapa final'!$R$50),"")</f>
        <v/>
      </c>
      <c r="AE16" s="39" t="str">
        <f>IF(AND('Mapa final'!$AH$51="Muy Alta",'Mapa final'!$AJ$51="Mayor"),CONCATENATE("R2C",'Mapa final'!$R$51),"")</f>
        <v/>
      </c>
      <c r="AF16" s="39" t="str">
        <f>IF(AND('Mapa final'!$AH$52="Muy Alta",'Mapa final'!$AJ$52="Mayor"),CONCATENATE("R2C",'Mapa final'!$R$52),"")</f>
        <v/>
      </c>
      <c r="AG16" s="39" t="str">
        <f>IF(AND('Mapa final'!$AH$53="Muy Alta",'Mapa final'!$AJ$53="Mayor"),CONCATENATE("R2C",'Mapa final'!$R$53),"")</f>
        <v/>
      </c>
      <c r="AH16" s="40" t="str">
        <f>IF(AND('Mapa final'!$AH$54="Muy Alta",'Mapa final'!$AJ$54="Mayor"),CONCATENATE("R2C",'Mapa final'!$R$54),"")</f>
        <v/>
      </c>
      <c r="AI16" s="41" t="str">
        <f>IF(AND('Mapa final'!$AH$49="Muy Alta",'Mapa final'!$AJ$49="Catastrófico"),CONCATENATE("R2C",'Mapa final'!$R$49),"")</f>
        <v/>
      </c>
      <c r="AJ16" s="42" t="str">
        <f>IF(AND('Mapa final'!$AH$50="Muy Alta",'Mapa final'!$AJ$50="Catastrófico"),CONCATENATE("R2C",'Mapa final'!$R$50),"")</f>
        <v/>
      </c>
      <c r="AK16" s="42" t="str">
        <f>IF(AND('Mapa final'!$AH$51="Muy Alta",'Mapa final'!$AJ$51="Catastrófico"),CONCATENATE("R2C",'Mapa final'!$R$51),"")</f>
        <v/>
      </c>
      <c r="AL16" s="42" t="str">
        <f>IF(AND('Mapa final'!$AH$52="Muy Alta",'Mapa final'!$AJ$52="Catastrófico"),CONCATENATE("R2C",'Mapa final'!$R$52),"")</f>
        <v/>
      </c>
      <c r="AM16" s="42" t="str">
        <f>IF(AND('Mapa final'!$AH$53="Muy Alta",'Mapa final'!$AJ$53="Catastrófico"),CONCATENATE("R2C",'Mapa final'!$R$53),"")</f>
        <v/>
      </c>
      <c r="AN16" s="43" t="str">
        <f>IF(AND('Mapa final'!$AH$54="Muy Alta",'Mapa final'!$AJ$54="Catastrófico"),CONCATENATE("R2C",'Mapa final'!$R$54),"")</f>
        <v/>
      </c>
      <c r="AO16" s="68"/>
      <c r="AP16" s="606"/>
      <c r="AQ16" s="607"/>
      <c r="AR16" s="607"/>
      <c r="AS16" s="607"/>
      <c r="AT16" s="607"/>
      <c r="AU16" s="60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c r="B17" s="68"/>
      <c r="C17" s="497"/>
      <c r="D17" s="497"/>
      <c r="E17" s="498"/>
      <c r="F17" s="587"/>
      <c r="G17" s="588"/>
      <c r="H17" s="588"/>
      <c r="I17" s="588"/>
      <c r="J17" s="588"/>
      <c r="K17" s="38" t="str">
        <f>IF(AND('Mapa final'!$AH$55="Muy Alta",'Mapa final'!$AJ$55="Leve"),CONCATENATE("R2C",'Mapa final'!$R$55),"")</f>
        <v/>
      </c>
      <c r="L17" s="39" t="str">
        <f>IF(AND('Mapa final'!$AH$56="Muy Alta",'Mapa final'!$AJ$56="Leve"),CONCATENATE("R2C",'Mapa final'!$R$56),"")</f>
        <v/>
      </c>
      <c r="M17" s="39" t="str">
        <f>IF(AND('Mapa final'!$AH$57="Muy Alta",'Mapa final'!$AJ$57="Leve"),CONCATENATE("R2C",'Mapa final'!$R$57),"")</f>
        <v/>
      </c>
      <c r="N17" s="39" t="str">
        <f>IF(AND('Mapa final'!$AH$58="Muy Alta",'Mapa final'!$AJ$58="Leve"),CONCATENATE("R2C",'Mapa final'!$R$58),"")</f>
        <v/>
      </c>
      <c r="O17" s="39" t="str">
        <f>IF(AND('Mapa final'!$AH$59="Muy Alta",'Mapa final'!$AJ$59="Leve"),CONCATENATE("R2C",'Mapa final'!$R$59),"")</f>
        <v/>
      </c>
      <c r="P17" s="40" t="str">
        <f>IF(AND('Mapa final'!$AH$70="Muy Alta",'Mapa final'!$AJ$60="Leve"),CONCATENATE("R2C",'Mapa final'!$R$60),"")</f>
        <v/>
      </c>
      <c r="Q17" s="39" t="str">
        <f>IF(AND('Mapa final'!$AH$55="Muy Alta",'Mapa final'!$AJ$55="Menor"),CONCATENATE("R2C",'Mapa final'!$R$55),"")</f>
        <v/>
      </c>
      <c r="R17" s="39" t="str">
        <f>IF(AND('Mapa final'!$AH$56="Muy Alta",'Mapa final'!$AJ$56="Menor"),CONCATENATE("R2C",'Mapa final'!$R$56),"")</f>
        <v/>
      </c>
      <c r="S17" s="39" t="str">
        <f>IF(AND('Mapa final'!$AH$57="Muy Alta",'Mapa final'!$AJ$57="Menor"),CONCATENATE("R2C",'Mapa final'!$R$57),"")</f>
        <v/>
      </c>
      <c r="T17" s="39" t="str">
        <f>IF(AND('Mapa final'!$AH$58="Muy Alta",'Mapa final'!$AJ$58="Menor"),CONCATENATE("R2C",'Mapa final'!$R$58),"")</f>
        <v/>
      </c>
      <c r="U17" s="39" t="str">
        <f>IF(AND('Mapa final'!$AH$59="Muy Alta",'Mapa final'!$AJ$59="Menor"),CONCATENATE("R2C",'Mapa final'!$R$59),"")</f>
        <v/>
      </c>
      <c r="V17" s="40" t="str">
        <f>IF(AND('Mapa final'!$AH$70="Muy Alta",'Mapa final'!$AJ$60="Menor"),CONCATENATE("R2C",'Mapa final'!$R$60),"")</f>
        <v/>
      </c>
      <c r="W17" s="38" t="str">
        <f>IF(AND('Mapa final'!$AH$55="Muy Alta",'Mapa final'!$AJ$55="Moderado"),CONCATENATE("R2C",'Mapa final'!$R$55),"")</f>
        <v/>
      </c>
      <c r="X17" s="39" t="str">
        <f>IF(AND('Mapa final'!$AH$56="Muy Alta",'Mapa final'!$AJ$56="Moderado"),CONCATENATE("R2C",'Mapa final'!$R$56),"")</f>
        <v/>
      </c>
      <c r="Y17" s="39" t="str">
        <f>IF(AND('Mapa final'!$AH$57="Muy Alta",'Mapa final'!$AJ$57="Moderado"),CONCATENATE("R2C",'Mapa final'!$R$57),"")</f>
        <v/>
      </c>
      <c r="Z17" s="39" t="str">
        <f>IF(AND('Mapa final'!$AH$58="Muy Alta",'Mapa final'!$AJ$58="Moderado"),CONCATENATE("R2C",'Mapa final'!$R$58),"")</f>
        <v/>
      </c>
      <c r="AA17" s="39" t="str">
        <f>IF(AND('Mapa final'!$AH$59="Muy Alta",'Mapa final'!$AJ$59="Moderado"),CONCATENATE("R2C",'Mapa final'!$R$59),"")</f>
        <v/>
      </c>
      <c r="AB17" s="40" t="str">
        <f>IF(AND('Mapa final'!$AH$70="Muy Alta",'Mapa final'!$AJ$60="Moderado"),CONCATENATE("R2C",'Mapa final'!$R$60),"")</f>
        <v/>
      </c>
      <c r="AC17" s="38" t="str">
        <f>IF(AND('Mapa final'!$AH$55="Muy Alta",'Mapa final'!$AJ$55="Mayor"),CONCATENATE("R2C",'Mapa final'!$R$55),"")</f>
        <v/>
      </c>
      <c r="AD17" s="39" t="str">
        <f>IF(AND('Mapa final'!$AH$56="Muy Alta",'Mapa final'!$AJ$56="Mayor"),CONCATENATE("R2C",'Mapa final'!$R$56),"")</f>
        <v/>
      </c>
      <c r="AE17" s="39" t="str">
        <f>IF(AND('Mapa final'!$AH$57="Muy Alta",'Mapa final'!$AJ$57="Mayor"),CONCATENATE("R2C",'Mapa final'!$R$57),"")</f>
        <v/>
      </c>
      <c r="AF17" s="39" t="str">
        <f>IF(AND('Mapa final'!$AH$58="Muy Alta",'Mapa final'!$AJ$58="Mayor"),CONCATENATE("R2C",'Mapa final'!$R$58),"")</f>
        <v/>
      </c>
      <c r="AG17" s="39" t="str">
        <f>IF(AND('Mapa final'!$AH$59="Muy Alta",'Mapa final'!$AJ$59="Mayor"),CONCATENATE("R2C",'Mapa final'!$R$59),"")</f>
        <v/>
      </c>
      <c r="AH17" s="40" t="str">
        <f>IF(AND('Mapa final'!$AH$70="Muy Alta",'Mapa final'!$AJ$60="Mayor"),CONCATENATE("R2C",'Mapa final'!$R$60),"")</f>
        <v/>
      </c>
      <c r="AI17" s="41" t="str">
        <f>IF(AND('Mapa final'!$AH$55="Muy Alta",'Mapa final'!$AJ$55="Catastrófico"),CONCATENATE("R2C",'Mapa final'!$R$55),"")</f>
        <v/>
      </c>
      <c r="AJ17" s="42" t="str">
        <f>IF(AND('Mapa final'!$AH$56="Muy Alta",'Mapa final'!$AJ$56="Catastrófico"),CONCATENATE("R2C",'Mapa final'!$R$56),"")</f>
        <v/>
      </c>
      <c r="AK17" s="42" t="str">
        <f>IF(AND('Mapa final'!$AH$57="Muy Alta",'Mapa final'!$AJ$57="Catastrófico"),CONCATENATE("R2C",'Mapa final'!$R$57),"")</f>
        <v/>
      </c>
      <c r="AL17" s="42" t="str">
        <f>IF(AND('Mapa final'!$AH$58="Muy Alta",'Mapa final'!$AJ$58="Catastrófico"),CONCATENATE("R2C",'Mapa final'!$R$58),"")</f>
        <v/>
      </c>
      <c r="AM17" s="42" t="str">
        <f>IF(AND('Mapa final'!$AH$59="Muy Alta",'Mapa final'!$AJ$59="Catastrófico"),CONCATENATE("R2C",'Mapa final'!$R$59),"")</f>
        <v/>
      </c>
      <c r="AN17" s="43" t="str">
        <f>IF(AND('Mapa final'!$AH$70="Muy Alta",'Mapa final'!$AJ$60="Catastrófico"),CONCATENATE("R2C",'Mapa final'!$R$60),"")</f>
        <v/>
      </c>
      <c r="AO17" s="68"/>
      <c r="AP17" s="606"/>
      <c r="AQ17" s="607"/>
      <c r="AR17" s="607"/>
      <c r="AS17" s="607"/>
      <c r="AT17" s="607"/>
      <c r="AU17" s="60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c r="B18" s="68"/>
      <c r="C18" s="497"/>
      <c r="D18" s="497"/>
      <c r="E18" s="498"/>
      <c r="F18" s="587"/>
      <c r="G18" s="588"/>
      <c r="H18" s="588"/>
      <c r="I18" s="588"/>
      <c r="J18" s="588"/>
      <c r="K18" s="38" t="str">
        <f>IF(AND('Mapa final'!$AH$61="Muy Alta",'Mapa final'!$AJ$61="Leve"),CONCATENATE("R2C",'Mapa final'!$R$61),"")</f>
        <v/>
      </c>
      <c r="L18" s="39" t="str">
        <f>IF(AND('Mapa final'!$AH$62="Muy Alta",'Mapa final'!$AJ$62="Leve"),CONCATENATE("R2C",'Mapa final'!$R$62),"")</f>
        <v/>
      </c>
      <c r="M18" s="39" t="str">
        <f>IF(AND('Mapa final'!$AH$63="Muy Alta",'Mapa final'!$AJ$63="Leve"),CONCATENATE("R2C",'Mapa final'!$R$63),"")</f>
        <v/>
      </c>
      <c r="N18" s="39" t="str">
        <f>IF(AND('Mapa final'!$AH$64="Muy Alta",'Mapa final'!$AJ$64="Leve"),CONCATENATE("R2C",'Mapa final'!$R$64),"")</f>
        <v/>
      </c>
      <c r="O18" s="39" t="str">
        <f>IF(AND('Mapa final'!$AH$65="Muy Alta",'Mapa final'!$AJ$65="Leve"),CONCATENATE("R2C",'Mapa final'!$R$65),"")</f>
        <v/>
      </c>
      <c r="P18" s="40" t="str">
        <f>IF(AND('Mapa final'!$AH$66="Muy Alta",'Mapa final'!$AJ$66="Leve"),CONCATENATE("R2C",'Mapa final'!$R$66),"")</f>
        <v/>
      </c>
      <c r="Q18" s="39" t="str">
        <f>IF(AND('Mapa final'!$AH$61="Muy Alta",'Mapa final'!$AJ$61="Menor"),CONCATENATE("R2C",'Mapa final'!$R$61),"")</f>
        <v/>
      </c>
      <c r="R18" s="39" t="str">
        <f>IF(AND('Mapa final'!$AH$62="Muy Alta",'Mapa final'!$AJ$62="Menor"),CONCATENATE("R2C",'Mapa final'!$R$62),"")</f>
        <v/>
      </c>
      <c r="S18" s="39" t="str">
        <f>IF(AND('Mapa final'!$AH$63="Muy Alta",'Mapa final'!$AJ$63="Menor"),CONCATENATE("R2C",'Mapa final'!$R$63),"")</f>
        <v/>
      </c>
      <c r="T18" s="39" t="str">
        <f>IF(AND('Mapa final'!$AH$64="Muy Alta",'Mapa final'!$AJ$64="Menor"),CONCATENATE("R2C",'Mapa final'!$R$64),"")</f>
        <v/>
      </c>
      <c r="U18" s="39" t="str">
        <f>IF(AND('Mapa final'!$AH$65="Muy Alta",'Mapa final'!$AJ$65="Menor"),CONCATENATE("R2C",'Mapa final'!$R$65),"")</f>
        <v/>
      </c>
      <c r="V18" s="40" t="str">
        <f>IF(AND('Mapa final'!$AH$66="Muy Alta",'Mapa final'!$AJ$66="Menor"),CONCATENATE("R2C",'Mapa final'!$R$66),"")</f>
        <v/>
      </c>
      <c r="W18" s="38" t="str">
        <f>IF(AND('Mapa final'!$AH$61="Muy Alta",'Mapa final'!$AJ$61="Moderado"),CONCATENATE("R2C",'Mapa final'!$R$61),"")</f>
        <v/>
      </c>
      <c r="X18" s="39" t="str">
        <f>IF(AND('Mapa final'!$AH$62="Muy Alta",'Mapa final'!$AJ$62="Moderado"),CONCATENATE("R2C",'Mapa final'!$R$62),"")</f>
        <v/>
      </c>
      <c r="Y18" s="39" t="str">
        <f>IF(AND('Mapa final'!$AH$63="Muy Alta",'Mapa final'!$AJ$63="Moderado"),CONCATENATE("R2C",'Mapa final'!$R$63),"")</f>
        <v/>
      </c>
      <c r="Z18" s="39" t="str">
        <f>IF(AND('Mapa final'!$AH$64="Muy Alta",'Mapa final'!$AJ$64="Moderado"),CONCATENATE("R2C",'Mapa final'!$R$64),"")</f>
        <v/>
      </c>
      <c r="AA18" s="39" t="str">
        <f>IF(AND('Mapa final'!$AH$65="Muy Alta",'Mapa final'!$AJ$65="Moderado"),CONCATENATE("R2C",'Mapa final'!$R$65),"")</f>
        <v/>
      </c>
      <c r="AB18" s="40" t="str">
        <f>IF(AND('Mapa final'!$AH$66="Muy Alta",'Mapa final'!$AJ$66="Moderado"),CONCATENATE("R2C",'Mapa final'!$R$66),"")</f>
        <v/>
      </c>
      <c r="AC18" s="38" t="str">
        <f>IF(AND('Mapa final'!$AH$61="Muy Alta",'Mapa final'!$AJ$61="Mayor"),CONCATENATE("R2C",'Mapa final'!$R$61),"")</f>
        <v/>
      </c>
      <c r="AD18" s="39" t="str">
        <f>IF(AND('Mapa final'!$AH$62="Muy Alta",'Mapa final'!$AJ$62="Mayor"),CONCATENATE("R2C",'Mapa final'!$R$62),"")</f>
        <v/>
      </c>
      <c r="AE18" s="39" t="str">
        <f>IF(AND('Mapa final'!$AH$63="Muy Alta",'Mapa final'!$AJ$63="Mayor"),CONCATENATE("R2C",'Mapa final'!$R$63),"")</f>
        <v/>
      </c>
      <c r="AF18" s="39" t="str">
        <f>IF(AND('Mapa final'!$AH$64="Muy Alta",'Mapa final'!$AJ$64="Mayor"),CONCATENATE("R2C",'Mapa final'!$R$64),"")</f>
        <v/>
      </c>
      <c r="AG18" s="39" t="str">
        <f>IF(AND('Mapa final'!$AH$65="Muy Alta",'Mapa final'!$AJ$65="Mayor"),CONCATENATE("R2C",'Mapa final'!$R$65),"")</f>
        <v/>
      </c>
      <c r="AH18" s="40" t="str">
        <f>IF(AND('Mapa final'!$AH$66="Muy Alta",'Mapa final'!$AJ$66="Mayor"),CONCATENATE("R2C",'Mapa final'!$R$66),"")</f>
        <v/>
      </c>
      <c r="AI18" s="41" t="str">
        <f>IF(AND('Mapa final'!$AH$61="Muy Alta",'Mapa final'!$AJ$61="Catastrófico"),CONCATENATE("R2C",'Mapa final'!$R$61),"")</f>
        <v/>
      </c>
      <c r="AJ18" s="42" t="str">
        <f>IF(AND('Mapa final'!$AH$62="Muy Alta",'Mapa final'!$AJ$62="Catastrófico"),CONCATENATE("R2C",'Mapa final'!$R$62),"")</f>
        <v/>
      </c>
      <c r="AK18" s="42" t="str">
        <f>IF(AND('Mapa final'!$AH$63="Muy Alta",'Mapa final'!$AJ$63="Catastrófico"),CONCATENATE("R2C",'Mapa final'!$R$63),"")</f>
        <v/>
      </c>
      <c r="AL18" s="42" t="str">
        <f>IF(AND('Mapa final'!$AH$64="Muy Alta",'Mapa final'!$AJ$64="Catastrófico"),CONCATENATE("R2C",'Mapa final'!$R$64),"")</f>
        <v/>
      </c>
      <c r="AM18" s="42" t="str">
        <f>IF(AND('Mapa final'!$AH$65="Muy Alta",'Mapa final'!$AJ$65="Catastrófico"),CONCATENATE("R2C",'Mapa final'!$R$65),"")</f>
        <v/>
      </c>
      <c r="AN18" s="43" t="str">
        <f>IF(AND('Mapa final'!$AH$66="Muy Alta",'Mapa final'!$AJ$66="Catastrófico"),CONCATENATE("R2C",'Mapa final'!$R$66),"")</f>
        <v/>
      </c>
      <c r="AO18" s="68"/>
      <c r="AP18" s="606"/>
      <c r="AQ18" s="607"/>
      <c r="AR18" s="607"/>
      <c r="AS18" s="607"/>
      <c r="AT18" s="607"/>
      <c r="AU18" s="60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c r="B19" s="68"/>
      <c r="C19" s="497"/>
      <c r="D19" s="497"/>
      <c r="E19" s="498"/>
      <c r="F19" s="587"/>
      <c r="G19" s="588"/>
      <c r="H19" s="588"/>
      <c r="I19" s="588"/>
      <c r="J19" s="588"/>
      <c r="K19" s="38" t="str">
        <f>IF(AND('Mapa final'!$AH$67="Muy Alta",'Mapa final'!$AJ$67="Leve"),CONCATENATE("R2C",'Mapa final'!$R$67),"")</f>
        <v/>
      </c>
      <c r="L19" s="39" t="str">
        <f>IF(AND('Mapa final'!$AH$68="Muy Alta",'Mapa final'!$AJ$68="Leve"),CONCATENATE("R2C",'Mapa final'!$R$68),"")</f>
        <v/>
      </c>
      <c r="M19" s="39" t="str">
        <f>IF(AND('Mapa final'!$AH$69="Muy Alta",'Mapa final'!$AJ$69="Leve"),CONCATENATE("R2C",'Mapa final'!$R$69),"")</f>
        <v/>
      </c>
      <c r="N19" s="39" t="str">
        <f>IF(AND('Mapa final'!$AH$70="Muy Alta",'Mapa final'!$AJ$70="Leve"),CONCATENATE("R2C",'Mapa final'!$R$70),"")</f>
        <v/>
      </c>
      <c r="O19" s="39" t="str">
        <f>IF(AND('Mapa final'!$AH$71="Muy Alta",'Mapa final'!$AJ$71="Leve"),CONCATENATE("R2C",'Mapa final'!$R$71),"")</f>
        <v/>
      </c>
      <c r="P19" s="40" t="str">
        <f>IF(AND('Mapa final'!$AH$72="Muy Alta",'Mapa final'!$AJ$72="Leve"),CONCATENATE("R2C",'Mapa final'!$R$72),"")</f>
        <v/>
      </c>
      <c r="Q19" s="39" t="str">
        <f>IF(AND('Mapa final'!$AH$67="Muy Alta",'Mapa final'!$AJ$67="Menor"),CONCATENATE("R2C",'Mapa final'!$R$67),"")</f>
        <v/>
      </c>
      <c r="R19" s="39" t="str">
        <f>IF(AND('Mapa final'!$AH$68="Muy Alta",'Mapa final'!$AJ$68="Menor"),CONCATENATE("R2C",'Mapa final'!$R$68),"")</f>
        <v/>
      </c>
      <c r="S19" s="39" t="str">
        <f>IF(AND('Mapa final'!$AH$69="Muy Alta",'Mapa final'!$AJ$69="Menor"),CONCATENATE("R2C",'Mapa final'!$R$69),"")</f>
        <v/>
      </c>
      <c r="T19" s="39" t="str">
        <f>IF(AND('Mapa final'!$AH$70="Muy Alta",'Mapa final'!$AJ$70="Menor"),CONCATENATE("R2C",'Mapa final'!$R$70),"")</f>
        <v/>
      </c>
      <c r="U19" s="39" t="str">
        <f>IF(AND('Mapa final'!$AH$71="Muy Alta",'Mapa final'!$AJ$71="Menor"),CONCATENATE("R2C",'Mapa final'!$R$71),"")</f>
        <v/>
      </c>
      <c r="V19" s="40" t="str">
        <f>IF(AND('Mapa final'!$AH$72="Muy Alta",'Mapa final'!$AJ$72="Menor"),CONCATENATE("R2C",'Mapa final'!$R$72),"")</f>
        <v/>
      </c>
      <c r="W19" s="38" t="str">
        <f>IF(AND('Mapa final'!$AH$67="Muy Alta",'Mapa final'!$AJ$67="Moderado"),CONCATENATE("R2C",'Mapa final'!$R$67),"")</f>
        <v/>
      </c>
      <c r="X19" s="39" t="str">
        <f>IF(AND('Mapa final'!$AH$68="Muy Alta",'Mapa final'!$AJ$68="Moderado"),CONCATENATE("R2C",'Mapa final'!$R$68),"")</f>
        <v/>
      </c>
      <c r="Y19" s="39" t="str">
        <f>IF(AND('Mapa final'!$AH$69="Muy Alta",'Mapa final'!$AJ$69="Moderado"),CONCATENATE("R2C",'Mapa final'!$R$69),"")</f>
        <v/>
      </c>
      <c r="Z19" s="39" t="str">
        <f>IF(AND('Mapa final'!$AH$70="Muy Alta",'Mapa final'!$AJ$70="Moderado"),CONCATENATE("R2C",'Mapa final'!$R$70),"")</f>
        <v/>
      </c>
      <c r="AA19" s="39" t="str">
        <f>IF(AND('Mapa final'!$AH$71="Muy Alta",'Mapa final'!$AJ$71="Moderado"),CONCATENATE("R2C",'Mapa final'!$R$71),"")</f>
        <v/>
      </c>
      <c r="AB19" s="40" t="str">
        <f>IF(AND('Mapa final'!$AH$72="Muy Alta",'Mapa final'!$AJ$72="Moderado"),CONCATENATE("R2C",'Mapa final'!$R$72),"")</f>
        <v/>
      </c>
      <c r="AC19" s="38" t="str">
        <f>IF(AND('Mapa final'!$AH$67="Muy Alta",'Mapa final'!$AJ$67="Mayor"),CONCATENATE("R2C",'Mapa final'!$R$67),"")</f>
        <v/>
      </c>
      <c r="AD19" s="39" t="str">
        <f>IF(AND('Mapa final'!$AH$68="Muy Alta",'Mapa final'!$AJ$68="Mayor"),CONCATENATE("R2C",'Mapa final'!$R$68),"")</f>
        <v/>
      </c>
      <c r="AE19" s="39" t="str">
        <f>IF(AND('Mapa final'!$AH$69="Muy Alta",'Mapa final'!$AJ$69="Mayor"),CONCATENATE("R2C",'Mapa final'!$R$69),"")</f>
        <v/>
      </c>
      <c r="AF19" s="39" t="str">
        <f>IF(AND('Mapa final'!$AH$70="Muy Alta",'Mapa final'!$AJ$70="Mayor"),CONCATENATE("R2C",'Mapa final'!$R$70),"")</f>
        <v/>
      </c>
      <c r="AG19" s="39" t="str">
        <f>IF(AND('Mapa final'!$AH$71="Muy Alta",'Mapa final'!$AJ$71="Mayor"),CONCATENATE("R2C",'Mapa final'!$R$71),"")</f>
        <v/>
      </c>
      <c r="AH19" s="40" t="str">
        <f>IF(AND('Mapa final'!$AH$72="Muy Alta",'Mapa final'!$AJ$72="Mayor"),CONCATENATE("R2C",'Mapa final'!$R$72),"")</f>
        <v/>
      </c>
      <c r="AI19" s="41" t="str">
        <f>IF(AND('Mapa final'!$AH$67="Muy Alta",'Mapa final'!$AJ$67="Catastrófico"),CONCATENATE("R2C",'Mapa final'!$R$67),"")</f>
        <v/>
      </c>
      <c r="AJ19" s="42" t="str">
        <f>IF(AND('Mapa final'!$AH$68="Muy Alta",'Mapa final'!$AJ$68="Catastrófico"),CONCATENATE("R2C",'Mapa final'!$R$68),"")</f>
        <v/>
      </c>
      <c r="AK19" s="42" t="str">
        <f>IF(AND('Mapa final'!$AH$69="Muy Alta",'Mapa final'!$AJ$69="Catastrófico"),CONCATENATE("R2C",'Mapa final'!$R$69),"")</f>
        <v/>
      </c>
      <c r="AL19" s="42" t="str">
        <f>IF(AND('Mapa final'!$AH$70="Muy Alta",'Mapa final'!$AJ$70="Catastrófico"),CONCATENATE("R2C",'Mapa final'!$R$70),"")</f>
        <v/>
      </c>
      <c r="AM19" s="42" t="str">
        <f>IF(AND('Mapa final'!$AH$71="Muy Alta",'Mapa final'!$AJ$71="Catastrófico"),CONCATENATE("R2C",'Mapa final'!$R$71),"")</f>
        <v/>
      </c>
      <c r="AN19" s="43" t="str">
        <f>IF(AND('Mapa final'!$AH$72="Muy Alta",'Mapa final'!$AJ$72="Catastrófico"),CONCATENATE("R2C",'Mapa final'!$R$72),"")</f>
        <v/>
      </c>
      <c r="AO19" s="68"/>
      <c r="AP19" s="606"/>
      <c r="AQ19" s="607"/>
      <c r="AR19" s="607"/>
      <c r="AS19" s="607"/>
      <c r="AT19" s="607"/>
      <c r="AU19" s="60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c r="B20" s="68"/>
      <c r="C20" s="497"/>
      <c r="D20" s="497"/>
      <c r="E20" s="498"/>
      <c r="F20" s="587"/>
      <c r="G20" s="588"/>
      <c r="H20" s="588"/>
      <c r="I20" s="588"/>
      <c r="J20" s="588"/>
      <c r="K20" s="38" t="str">
        <f>IF(AND('Mapa final'!$AH$73="Muy Alta",'Mapa final'!$AJ$73="Leve"),CONCATENATE("R2C",'Mapa final'!$R$73),"")</f>
        <v/>
      </c>
      <c r="L20" s="39" t="str">
        <f>IF(AND('Mapa final'!$AH$74="Muy Alta",'Mapa final'!$AJ$74="Leve"),CONCATENATE("R2C",'Mapa final'!$R$74),"")</f>
        <v/>
      </c>
      <c r="M20" s="39" t="str">
        <f>IF(AND('Mapa final'!$AH$75="Muy Alta",'Mapa final'!$AJ$75="Leve"),CONCATENATE("R2C",'Mapa final'!$R$75),"")</f>
        <v/>
      </c>
      <c r="N20" s="39" t="str">
        <f>IF(AND('Mapa final'!$AH$76="Muy Alta",'Mapa final'!$AJ$76="Leve"),CONCATENATE("R2C",'Mapa final'!$R$76),"")</f>
        <v/>
      </c>
      <c r="O20" s="39" t="str">
        <f>IF(AND('Mapa final'!$AH$77="Muy Alta",'Mapa final'!$AJ$77="Leve"),CONCATENATE("R2C",'Mapa final'!$R$77),"")</f>
        <v/>
      </c>
      <c r="P20" s="40" t="str">
        <f>IF(AND('Mapa final'!$AH$78="Muy Alta",'Mapa final'!$AJ$78="Leve"),CONCATENATE("R2C",'Mapa final'!$R$78),"")</f>
        <v/>
      </c>
      <c r="Q20" s="39" t="str">
        <f>IF(AND('Mapa final'!$AH$73="Muy Alta",'Mapa final'!$AJ$73="Menor"),CONCATENATE("R2C",'Mapa final'!$R$73),"")</f>
        <v/>
      </c>
      <c r="R20" s="39" t="str">
        <f>IF(AND('Mapa final'!$AH$74="Muy Alta",'Mapa final'!$AJ$74="Menor"),CONCATENATE("R2C",'Mapa final'!$R$74),"")</f>
        <v/>
      </c>
      <c r="S20" s="39" t="str">
        <f>IF(AND('Mapa final'!$AH$75="Muy Alta",'Mapa final'!$AJ$75="Menor"),CONCATENATE("R2C",'Mapa final'!$R$75),"")</f>
        <v/>
      </c>
      <c r="T20" s="39" t="str">
        <f>IF(AND('Mapa final'!$AH$76="Muy Alta",'Mapa final'!$AJ$76="Menor"),CONCATENATE("R2C",'Mapa final'!$R$76),"")</f>
        <v/>
      </c>
      <c r="U20" s="39" t="str">
        <f>IF(AND('Mapa final'!$AH$77="Muy Alta",'Mapa final'!$AJ$77="Menor"),CONCATENATE("R2C",'Mapa final'!$R$77),"")</f>
        <v/>
      </c>
      <c r="V20" s="40" t="str">
        <f>IF(AND('Mapa final'!$AH$78="Muy Alta",'Mapa final'!$AJ$78="Menor"),CONCATENATE("R2C",'Mapa final'!$R$78),"")</f>
        <v/>
      </c>
      <c r="W20" s="38" t="str">
        <f>IF(AND('Mapa final'!$AH$73="Muy Alta",'Mapa final'!$AJ$73="Moderado"),CONCATENATE("R2C",'Mapa final'!$R$73),"")</f>
        <v/>
      </c>
      <c r="X20" s="39" t="str">
        <f>IF(AND('Mapa final'!$AH$74="Muy Alta",'Mapa final'!$AJ$74="Moderado"),CONCATENATE("R2C",'Mapa final'!$R$74),"")</f>
        <v/>
      </c>
      <c r="Y20" s="39" t="str">
        <f>IF(AND('Mapa final'!$AH$75="Muy Alta",'Mapa final'!$AJ$75="Moderado"),CONCATENATE("R2C",'Mapa final'!$R$75),"")</f>
        <v/>
      </c>
      <c r="Z20" s="39" t="str">
        <f>IF(AND('Mapa final'!$AH$76="Muy Alta",'Mapa final'!$AJ$76="Moderado"),CONCATENATE("R2C",'Mapa final'!$R$76),"")</f>
        <v/>
      </c>
      <c r="AA20" s="39" t="str">
        <f>IF(AND('Mapa final'!$AH$77="Muy Alta",'Mapa final'!$AJ$77="Moderado"),CONCATENATE("R2C",'Mapa final'!$R$77),"")</f>
        <v/>
      </c>
      <c r="AB20" s="40" t="str">
        <f>IF(AND('Mapa final'!$AH$78="Muy Alta",'Mapa final'!$AJ$78="Moderado"),CONCATENATE("R2C",'Mapa final'!$R$78),"")</f>
        <v/>
      </c>
      <c r="AC20" s="38" t="str">
        <f>IF(AND('Mapa final'!$AH$73="Muy Alta",'Mapa final'!$AJ$73="Mayor"),CONCATENATE("R2C",'Mapa final'!$R$73),"")</f>
        <v/>
      </c>
      <c r="AD20" s="39" t="str">
        <f>IF(AND('Mapa final'!$AH$74="Muy Alta",'Mapa final'!$AJ$74="Mayor"),CONCATENATE("R2C",'Mapa final'!$R$74),"")</f>
        <v/>
      </c>
      <c r="AE20" s="39" t="str">
        <f>IF(AND('Mapa final'!$AH$75="Muy Alta",'Mapa final'!$AJ$75="Mayor"),CONCATENATE("R2C",'Mapa final'!$R$75),"")</f>
        <v/>
      </c>
      <c r="AF20" s="39" t="str">
        <f>IF(AND('Mapa final'!$AH$76="Muy Alta",'Mapa final'!$AJ$76="Mayor"),CONCATENATE("R2C",'Mapa final'!$R$76),"")</f>
        <v/>
      </c>
      <c r="AG20" s="39" t="str">
        <f>IF(AND('Mapa final'!$AH$77="Muy Alta",'Mapa final'!$AJ$77="Mayor"),CONCATENATE("R2C",'Mapa final'!$R$77),"")</f>
        <v/>
      </c>
      <c r="AH20" s="40" t="str">
        <f>IF(AND('Mapa final'!$AH$78="Muy Alta",'Mapa final'!$AJ$78="Mayor"),CONCATENATE("R2C",'Mapa final'!$R$78),"")</f>
        <v/>
      </c>
      <c r="AI20" s="41" t="str">
        <f>IF(AND('Mapa final'!$AH$73="Muy Alta",'Mapa final'!$AJ$73="Catastrófico"),CONCATENATE("R2C",'Mapa final'!$R$73),"")</f>
        <v/>
      </c>
      <c r="AJ20" s="42" t="str">
        <f>IF(AND('Mapa final'!$AH$74="Muy Alta",'Mapa final'!$AJ$74="Catastrófico"),CONCATENATE("R2C",'Mapa final'!$R$74),"")</f>
        <v/>
      </c>
      <c r="AK20" s="42" t="str">
        <f>IF(AND('Mapa final'!$AH$75="Muy Alta",'Mapa final'!$AJ$75="Catastrófico"),CONCATENATE("R2C",'Mapa final'!$R$75),"")</f>
        <v/>
      </c>
      <c r="AL20" s="42" t="str">
        <f>IF(AND('Mapa final'!$AH$76="Muy Alta",'Mapa final'!$AJ$76="Catastrófico"),CONCATENATE("R2C",'Mapa final'!$R$76),"")</f>
        <v/>
      </c>
      <c r="AM20" s="42" t="str">
        <f>IF(AND('Mapa final'!$AH$77="Muy Alta",'Mapa final'!$AJ$77="Catastrófico"),CONCATENATE("R2C",'Mapa final'!$R$77),"")</f>
        <v/>
      </c>
      <c r="AN20" s="43" t="str">
        <f>IF(AND('Mapa final'!$AH$78="Muy Alta",'Mapa final'!$AJ$78="Catastrófico"),CONCATENATE("R2C",'Mapa final'!$R$78),"")</f>
        <v/>
      </c>
      <c r="AO20" s="68"/>
      <c r="AP20" s="606"/>
      <c r="AQ20" s="607"/>
      <c r="AR20" s="607"/>
      <c r="AS20" s="607"/>
      <c r="AT20" s="607"/>
      <c r="AU20" s="60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c r="B21" s="68"/>
      <c r="C21" s="497"/>
      <c r="D21" s="497"/>
      <c r="E21" s="498"/>
      <c r="F21" s="590"/>
      <c r="G21" s="591"/>
      <c r="H21" s="591"/>
      <c r="I21" s="591"/>
      <c r="J21" s="591"/>
      <c r="K21" s="44" t="str">
        <f>IF(AND('Mapa final'!$AH$79="Muy Alta",'Mapa final'!$AJ$79="Leve"),CONCATENATE("R2C",'Mapa final'!$R$79),"")</f>
        <v/>
      </c>
      <c r="L21" s="45" t="str">
        <f>IF(AND('Mapa final'!$AH$80="Muy Alta",'Mapa final'!$AJ$80="Leve"),CONCATENATE("R2C",'Mapa final'!$R$80),"")</f>
        <v/>
      </c>
      <c r="M21" s="45" t="str">
        <f>IF(AND('Mapa final'!$AH$81="Muy Alta",'Mapa final'!$AJ$81="Leve"),CONCATENATE("R2C",'Mapa final'!$R$81),"")</f>
        <v/>
      </c>
      <c r="N21" s="45" t="str">
        <f>IF(AND('Mapa final'!$AH$82="Muy Alta",'Mapa final'!$AJ$82="Leve"),CONCATENATE("R2C",'Mapa final'!$R$82),"")</f>
        <v/>
      </c>
      <c r="O21" s="45" t="str">
        <f>IF(AND('Mapa final'!$AH$84="Muy Alta",'Mapa final'!$AJ$84="Leve"),CONCATENATE("R2C",'Mapa final'!$R$84),"")</f>
        <v/>
      </c>
      <c r="P21" s="46" t="str">
        <f>IF(AND('Mapa final'!$AH$85="Muy Alta",'Mapa final'!$AJ$85="Leve"),CONCATENATE("R2C",'Mapa final'!$R$85),"")</f>
        <v/>
      </c>
      <c r="Q21" s="39" t="str">
        <f>IF(AND('Mapa final'!$AH$79="Muy Alta",'Mapa final'!$AJ$79="Menor"),CONCATENATE("R2C",'Mapa final'!$R$79),"")</f>
        <v/>
      </c>
      <c r="R21" s="39" t="str">
        <f>IF(AND('Mapa final'!$AH$80="Muy Alta",'Mapa final'!$AJ$80="Menor"),CONCATENATE("R2C",'Mapa final'!$R$80),"")</f>
        <v/>
      </c>
      <c r="S21" s="39" t="str">
        <f>IF(AND('Mapa final'!$AH$81="Muy Alta",'Mapa final'!$AJ$81="Menor"),CONCATENATE("R2C",'Mapa final'!$R$81),"")</f>
        <v/>
      </c>
      <c r="T21" s="39" t="str">
        <f>IF(AND('Mapa final'!$AH$82="Muy Alta",'Mapa final'!$AJ$82="Menor"),CONCATENATE("R2C",'Mapa final'!$R$82),"")</f>
        <v/>
      </c>
      <c r="U21" s="39" t="str">
        <f>IF(AND('Mapa final'!$AH$84="Muy Alta",'Mapa final'!$AJ$84="Menor"),CONCATENATE("R2C",'Mapa final'!$R$84),"")</f>
        <v/>
      </c>
      <c r="V21" s="40" t="str">
        <f>IF(AND('Mapa final'!$AH$85="Muy Alta",'Mapa final'!$AJ$85="Menor"),CONCATENATE("R2C",'Mapa final'!$R$85),"")</f>
        <v/>
      </c>
      <c r="W21" s="44" t="str">
        <f>IF(AND('Mapa final'!$AH$79="Muy Alta",'Mapa final'!$AJ$79="Moderado"),CONCATENATE("R2C",'Mapa final'!$R$79),"")</f>
        <v/>
      </c>
      <c r="X21" s="45" t="str">
        <f>IF(AND('Mapa final'!$AH$80="Muy Alta",'Mapa final'!$AJ$80="Moderado"),CONCATENATE("R2C",'Mapa final'!$R$80),"")</f>
        <v/>
      </c>
      <c r="Y21" s="45" t="str">
        <f>IF(AND('Mapa final'!$AH$81="Muy Alta",'Mapa final'!$AJ$81="Moderado"),CONCATENATE("R2C",'Mapa final'!$R$81),"")</f>
        <v/>
      </c>
      <c r="Z21" s="45" t="str">
        <f>IF(AND('Mapa final'!$AH$82="Muy Alta",'Mapa final'!$AJ$82="Moderado"),CONCATENATE("R2C",'Mapa final'!$R$82),"")</f>
        <v/>
      </c>
      <c r="AA21" s="45" t="str">
        <f>IF(AND('Mapa final'!$AH$84="Muy Alta",'Mapa final'!$AJ$84="Moderado"),CONCATENATE("R2C",'Mapa final'!$R$84),"")</f>
        <v/>
      </c>
      <c r="AB21" s="46" t="str">
        <f>IF(AND('Mapa final'!$AH$85="Muy Alta",'Mapa final'!$AJ$85="Moderado"),CONCATENATE("R2C",'Mapa final'!$R$85),"")</f>
        <v/>
      </c>
      <c r="AC21" s="38" t="str">
        <f>IF(AND('Mapa final'!$AH$79="Muy Alta",'Mapa final'!$AJ$79="Mayor"),CONCATENATE("R2C",'Mapa final'!$R$79),"")</f>
        <v/>
      </c>
      <c r="AD21" s="39" t="str">
        <f>IF(AND('Mapa final'!$AH$80="Muy Alta",'Mapa final'!$AJ$80="Mayor"),CONCATENATE("R2C",'Mapa final'!$R$80),"")</f>
        <v/>
      </c>
      <c r="AE21" s="39" t="str">
        <f>IF(AND('Mapa final'!$AH$81="Muy Alta",'Mapa final'!$AJ$81="Mayor"),CONCATENATE("R2C",'Mapa final'!$R$81),"")</f>
        <v/>
      </c>
      <c r="AF21" s="39" t="str">
        <f>IF(AND('Mapa final'!$AH$82="Muy Alta",'Mapa final'!$AJ$82="Mayor"),CONCATENATE("R2C",'Mapa final'!$R$82),"")</f>
        <v/>
      </c>
      <c r="AG21" s="39" t="str">
        <f>IF(AND('Mapa final'!$AH$84="Muy Alta",'Mapa final'!$AJ$84="Mayor"),CONCATENATE("R2C",'Mapa final'!$R$84),"")</f>
        <v/>
      </c>
      <c r="AH21" s="40" t="str">
        <f>IF(AND('Mapa final'!$AH$85="Muy Alta",'Mapa final'!$AJ$85="Mayor"),CONCATENATE("R2C",'Mapa final'!$R$85),"")</f>
        <v/>
      </c>
      <c r="AI21" s="47" t="str">
        <f>IF(AND('Mapa final'!$AH$79="Muy Alta",'Mapa final'!$AJ$79="Catastrófico"),CONCATENATE("R2C",'Mapa final'!$R$79),"")</f>
        <v/>
      </c>
      <c r="AJ21" s="48" t="str">
        <f>IF(AND('Mapa final'!$AH$80="Muy Alta",'Mapa final'!$AJ$80="Catastrófico"),CONCATENATE("R2C",'Mapa final'!$R$80),"")</f>
        <v/>
      </c>
      <c r="AK21" s="48" t="str">
        <f>IF(AND('Mapa final'!$AH$81="Muy Alta",'Mapa final'!$AJ$81="Catastrófico"),CONCATENATE("R2C",'Mapa final'!$R$81),"")</f>
        <v/>
      </c>
      <c r="AL21" s="48" t="str">
        <f>IF(AND('Mapa final'!$AH$82="Muy Alta",'Mapa final'!$AJ$82="Catastrófico"),CONCATENATE("R2C",'Mapa final'!$R$82),"")</f>
        <v/>
      </c>
      <c r="AM21" s="48" t="str">
        <f>IF(AND('Mapa final'!$AH$84="Muy Alta",'Mapa final'!$AJ$84="Catastrófico"),CONCATENATE("R2C",'Mapa final'!$R$84),"")</f>
        <v/>
      </c>
      <c r="AN21" s="49" t="str">
        <f>IF(AND('Mapa final'!$AH$85="Muy Alta",'Mapa final'!$AJ$85="Catastrófico"),CONCATENATE("R2C",'Mapa final'!$R$85),"")</f>
        <v/>
      </c>
      <c r="AO21" s="68"/>
      <c r="AP21" s="609"/>
      <c r="AQ21" s="610"/>
      <c r="AR21" s="610"/>
      <c r="AS21" s="610"/>
      <c r="AT21" s="610"/>
      <c r="AU21" s="611"/>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c r="B22" s="68"/>
      <c r="C22" s="497"/>
      <c r="D22" s="497"/>
      <c r="E22" s="498"/>
      <c r="F22" s="584" t="s">
        <v>370</v>
      </c>
      <c r="G22" s="585"/>
      <c r="H22" s="585"/>
      <c r="I22" s="585"/>
      <c r="J22" s="585"/>
      <c r="K22" s="53"/>
      <c r="L22" s="54" t="str">
        <f>IF(AND('Mapa final'!$AH$16="Alta",'Mapa final'!$AJ$16="Leve"),CONCATENATE("R2C",'Mapa final'!$R$15),"")</f>
        <v/>
      </c>
      <c r="M22" s="54" t="str">
        <f>IF(AND('Mapa final'!$AH$17="Alta",'Mapa final'!$AJ$17="Leve"),CONCATENATE("R2C",'Mapa final'!$R$17),"")</f>
        <v/>
      </c>
      <c r="N22" s="54" t="str">
        <f>IF(AND('Mapa final'!$AH$20="Alta",'Mapa final'!$AJ$20="Leve"),CONCATENATE("R2C",'Mapa final'!$R$20),"")</f>
        <v/>
      </c>
      <c r="O22" s="54" t="str">
        <f>IF(AND('Mapa final'!$AH$21="Alta",'Mapa final'!$AJ$21="Leve"),CONCATENATE("R2C",'Mapa final'!$R$21),"")</f>
        <v/>
      </c>
      <c r="P22" s="55" t="str">
        <f>IF(AND('Mapa final'!$AH$22="Alta",'Mapa final'!$AJ$22="Leve"),CONCATENATE("R2C",'Mapa final'!$R$22),"")</f>
        <v/>
      </c>
      <c r="Q22" s="50"/>
      <c r="R22" s="51" t="str">
        <f>IF(AND('Mapa final'!$AH$16="Alta",'Mapa final'!$AJ$16="Menore"),CONCATENATE("R2C",'Mapa final'!$R$15),"")</f>
        <v/>
      </c>
      <c r="S22" s="51" t="str">
        <f>IF(AND('Mapa final'!$AH$17="Alta",'Mapa final'!$AJ$17="Menor"),CONCATENATE("R2C",'Mapa final'!$R$17),"")</f>
        <v/>
      </c>
      <c r="T22" s="51" t="str">
        <f>IF(AND('Mapa final'!$AH$20="Alta",'Mapa final'!$AJ$20="Menor"),CONCATENATE("R2C",'Mapa final'!$R$20),"")</f>
        <v/>
      </c>
      <c r="U22" s="51" t="str">
        <f>IF(AND('Mapa final'!$AH$21="Alta",'Mapa final'!$AJ$21="Menor"),CONCATENATE("R2C",'Mapa final'!$R$21),"")</f>
        <v/>
      </c>
      <c r="V22" s="52" t="str">
        <f>IF(AND('Mapa final'!$AH$22="Alta",'Mapa final'!$AJ$22="Menor"),CONCATENATE("R2C",'Mapa final'!$R$22),"")</f>
        <v/>
      </c>
      <c r="W22" s="32"/>
      <c r="X22" s="33" t="str">
        <f>IF(AND('Mapa final'!$AH$16="Alta",'Mapa final'!$AJ$16="Moderado"),CONCATENATE("R2C",'Mapa final'!$R$15),"")</f>
        <v/>
      </c>
      <c r="Y22" s="33"/>
      <c r="Z22" s="33" t="str">
        <f>IF(AND('Mapa final'!$AH$20="Alta",'Mapa final'!$AJ$20="Moderado"),CONCATENATE("R2C",'Mapa final'!$R$20),"")</f>
        <v/>
      </c>
      <c r="AA22" s="33" t="str">
        <f>IF(AND('Mapa final'!$AH$21="Alta",'Mapa final'!$AJ$21="Moderado"),CONCATENATE("R2C",'Mapa final'!$R$21),"")</f>
        <v/>
      </c>
      <c r="AB22" s="34" t="str">
        <f>IF(AND('Mapa final'!$AH$22="Alta",'Mapa final'!$AJ$22="Moderado"),CONCATENATE("R2C",'Mapa final'!$R$22),"")</f>
        <v/>
      </c>
      <c r="AC22" s="32"/>
      <c r="AD22" s="33" t="str">
        <f>IF(AND('Mapa final'!$AH$16="Alta",'Mapa final'!$AJ$16="Mayor"),CONCATENATE("R2C",'Mapa final'!$R$15),"")</f>
        <v/>
      </c>
      <c r="AE22" s="33" t="str">
        <f>IF(AND('Mapa final'!$AH$17="Alta",'Mapa final'!$AJ$17="Mayor"),CONCATENATE("R2C",'Mapa final'!$R$17),"")</f>
        <v/>
      </c>
      <c r="AF22" s="33" t="str">
        <f>IF(AND('Mapa final'!$AH$20="Alta",'Mapa final'!$AJ$20="Mayor"),CONCATENATE("R2C",'Mapa final'!$R$20),"")</f>
        <v/>
      </c>
      <c r="AG22" s="33" t="str">
        <f>IF(AND('Mapa final'!$AH$21="Alta",'Mapa final'!$AJ$21="Mayor"),CONCATENATE("R2C",'Mapa final'!$R$21),"")</f>
        <v/>
      </c>
      <c r="AH22" s="34" t="str">
        <f>IF(AND('Mapa final'!$AH$22="Alta",'Mapa final'!$AJ$22="Mayor"),CONCATENATE("R2C",'Mapa final'!$R$22),"")</f>
        <v/>
      </c>
      <c r="AI22" s="35"/>
      <c r="AJ22" s="36" t="str">
        <f>IF(AND('Mapa final'!$AH$16="Alta",'Mapa final'!$AJ$16="Catastrófico"),CONCATENATE("R2C",'Mapa final'!$R$15),"")</f>
        <v/>
      </c>
      <c r="AK22" s="36" t="str">
        <f>IF(AND('Mapa final'!$AH$17="Alta",'Mapa final'!$AJ$17="Catastrófico"),CONCATENATE("R2C",'Mapa final'!$R$17),"")</f>
        <v/>
      </c>
      <c r="AL22" s="36" t="str">
        <f>IF(AND('Mapa final'!$AH$20="Alta",'Mapa final'!$AJ$20="Catastrófico"),CONCATENATE("R2C",'Mapa final'!$R$20),"")</f>
        <v/>
      </c>
      <c r="AM22" s="36" t="str">
        <f>IF(AND('Mapa final'!$AH$21="Alta",'Mapa final'!$AJ$21="Catastrófico"),CONCATENATE("R2C",'Mapa final'!$R$21),"")</f>
        <v/>
      </c>
      <c r="AN22" s="37" t="str">
        <f>IF(AND('Mapa final'!$AH$22="Alta",'Mapa final'!$AJ$22="Catastrófico"),CONCATENATE("R2C",'Mapa final'!$R$22),"")</f>
        <v/>
      </c>
      <c r="AO22" s="68"/>
      <c r="AP22" s="593" t="s">
        <v>371</v>
      </c>
      <c r="AQ22" s="594"/>
      <c r="AR22" s="594"/>
      <c r="AS22" s="594"/>
      <c r="AT22" s="594"/>
      <c r="AU22" s="595"/>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c r="B23" s="68"/>
      <c r="C23" s="497"/>
      <c r="D23" s="497"/>
      <c r="E23" s="498"/>
      <c r="F23" s="602"/>
      <c r="G23" s="588"/>
      <c r="H23" s="588"/>
      <c r="I23" s="588"/>
      <c r="J23" s="588"/>
      <c r="K23" s="53" t="str">
        <f>IF(AND('Mapa final'!$AH$23="Alta",'Mapa final'!$AJ$23="Leve"),CONCATENATE("R2C",'Mapa final'!$R$23),"")</f>
        <v/>
      </c>
      <c r="L23" s="54" t="str">
        <f>IF(AND('Mapa final'!$AH$24="Alta",'Mapa final'!$AJ$24="Leve"),CONCATENATE("R2C",'Mapa final'!$R$24),"")</f>
        <v/>
      </c>
      <c r="M23" s="54" t="str">
        <f>IF(AND('Mapa final'!$AH$33="Alta",'Mapa final'!$AJ$33="Leve"),CONCATENATE("R2C",'Mapa final'!$R$33),"")</f>
        <v/>
      </c>
      <c r="N23" s="54" t="str">
        <f>IF(AND('Mapa final'!$AH$34="Alta",'Mapa final'!$AJ$34="Leve"),CONCATENATE("R2C",'Mapa final'!$R$34),"")</f>
        <v/>
      </c>
      <c r="O23" s="54" t="str">
        <f>IF(AND('Mapa final'!$AH$35="Alta",'Mapa final'!$AJ$35="Leve"),CONCATENATE("R2C",'Mapa final'!$R$35),"")</f>
        <v/>
      </c>
      <c r="P23" s="55" t="str">
        <f>IF(AND('Mapa final'!$AH$36="Alta",'Mapa final'!$AJ$36="Leve"),CONCATENATE("R2C",'Mapa final'!$R$36),"")</f>
        <v/>
      </c>
      <c r="Q23" s="53" t="str">
        <f>IF(AND('Mapa final'!$AH$23="Alta",'Mapa final'!$AJ$23="Menor"),CONCATENATE("R2C",'Mapa final'!$R$23),"")</f>
        <v/>
      </c>
      <c r="R23" s="54" t="str">
        <f>IF(AND('Mapa final'!$AH$24="Alta",'Mapa final'!$AJ$24="Menor"),CONCATENATE("R2C",'Mapa final'!$R$24),"")</f>
        <v/>
      </c>
      <c r="S23" s="54" t="str">
        <f>IF(AND('Mapa final'!$AH$33="Alta",'Mapa final'!$AJ$33="Menor"),CONCATENATE("R2C",'Mapa final'!$R$33),"")</f>
        <v/>
      </c>
      <c r="T23" s="54" t="str">
        <f>IF(AND('Mapa final'!$AH$34="Alta",'Mapa final'!$AJ$34="Menor"),CONCATENATE("R2C",'Mapa final'!$R$34),"")</f>
        <v/>
      </c>
      <c r="U23" s="54" t="str">
        <f>IF(AND('Mapa final'!$AH$35="Alta",'Mapa final'!$AJ$35="Menor"),CONCATENATE("R2C",'Mapa final'!$R$35),"")</f>
        <v/>
      </c>
      <c r="V23" s="55" t="str">
        <f>IF(AND('Mapa final'!$AH$36="Alta",'Mapa final'!$AJ$36="Menor"),CONCATENATE("R2C",'Mapa final'!$R$36),"")</f>
        <v/>
      </c>
      <c r="W23" s="38" t="str">
        <f>IF(AND('Mapa final'!$AH$23="Alta",'Mapa final'!$AJ$23="Moderado"),CONCATENATE("R2C",'Mapa final'!$R$23),"")</f>
        <v/>
      </c>
      <c r="X23" s="39" t="str">
        <f>IF(AND('Mapa final'!$AH$24="Alta",'Mapa final'!$AJ$24="Moderado"),CONCATENATE("R2C",'Mapa final'!$R$24),"")</f>
        <v/>
      </c>
      <c r="Y23" s="39" t="str">
        <f>IF(AND('Mapa final'!$AH$33="Alta",'Mapa final'!$AJ$33="Moderado"),CONCATENATE("R2C",'Mapa final'!$R$33),"")</f>
        <v/>
      </c>
      <c r="Z23" s="39" t="str">
        <f>IF(AND('Mapa final'!$AH$34="Alta",'Mapa final'!$AJ$34="Moderado"),CONCATENATE("R2C",'Mapa final'!$R$34),"")</f>
        <v/>
      </c>
      <c r="AA23" s="39" t="str">
        <f>IF(AND('Mapa final'!$AH$35="Alta",'Mapa final'!$AJ$35="Moderado"),CONCATENATE("R2C",'Mapa final'!$R$35),"")</f>
        <v/>
      </c>
      <c r="AB23" s="40" t="str">
        <f>IF(AND('Mapa final'!$AH$36="Alta",'Mapa final'!$AJ$36="Moderado"),CONCATENATE("R2C",'Mapa final'!$R$36),"")</f>
        <v/>
      </c>
      <c r="AC23" s="38" t="str">
        <f>IF(AND('Mapa final'!$AH$23="Alta",'Mapa final'!$AJ$23="Mayor"),CONCATENATE("R2C",'Mapa final'!$R$23),"")</f>
        <v/>
      </c>
      <c r="AD23" s="39" t="str">
        <f>IF(AND('Mapa final'!$AH$24="Alta",'Mapa final'!$AJ$24="Mayor"),CONCATENATE("R2C",'Mapa final'!$R$24),"")</f>
        <v/>
      </c>
      <c r="AE23" s="39" t="str">
        <f>IF(AND('Mapa final'!$AH$33="Alta",'Mapa final'!$AJ$33="Mayor"),CONCATENATE("R2C",'Mapa final'!$R$33),"")</f>
        <v/>
      </c>
      <c r="AF23" s="39" t="str">
        <f>IF(AND('Mapa final'!$AH$34="Alta",'Mapa final'!$AJ$34="Mayor"),CONCATENATE("R2C",'Mapa final'!$R$34),"")</f>
        <v/>
      </c>
      <c r="AG23" s="39" t="str">
        <f>IF(AND('Mapa final'!$AH$35="Alta",'Mapa final'!$AJ$35="Mayor"),CONCATENATE("R2C",'Mapa final'!$R$35),"")</f>
        <v/>
      </c>
      <c r="AH23" s="40" t="str">
        <f>IF(AND('Mapa final'!$AH$36="Alta",'Mapa final'!$AJ$36="Mayor"),CONCATENATE("R2C",'Mapa final'!$R$36),"")</f>
        <v/>
      </c>
      <c r="AI23" s="41" t="str">
        <f>IF(AND('Mapa final'!$AH$23="Alta",'Mapa final'!$AJ$23="Catastrófico"),CONCATENATE("R2C",'Mapa final'!$R$23),"")</f>
        <v/>
      </c>
      <c r="AJ23" s="42" t="str">
        <f>IF(AND('Mapa final'!$AH$24="Alta",'Mapa final'!$AJ$24="Catastrófico"),CONCATENATE("R2C",'Mapa final'!$R$24),"")</f>
        <v/>
      </c>
      <c r="AK23" s="42" t="str">
        <f>IF(AND('Mapa final'!$AH$33="Alta",'Mapa final'!$AJ$33="Catastrófico"),CONCATENATE("R2C",'Mapa final'!$R$33),"")</f>
        <v/>
      </c>
      <c r="AL23" s="42" t="str">
        <f>IF(AND('Mapa final'!$AH$34="Alta",'Mapa final'!$AJ$34="Catastrófico"),CONCATENATE("R2C",'Mapa final'!$R$34),"")</f>
        <v/>
      </c>
      <c r="AM23" s="42" t="str">
        <f>IF(AND('Mapa final'!$AH$35="Alta",'Mapa final'!$AJ$35="Catastrófico"),CONCATENATE("R2C",'Mapa final'!$R$35),"")</f>
        <v/>
      </c>
      <c r="AN23" s="43" t="str">
        <f>IF(AND('Mapa final'!$AH$36="Alta",'Mapa final'!$AJ$36="Catastrófico"),CONCATENATE("R2C",'Mapa final'!$R$36),"")</f>
        <v/>
      </c>
      <c r="AO23" s="68"/>
      <c r="AP23" s="596"/>
      <c r="AQ23" s="597"/>
      <c r="AR23" s="597"/>
      <c r="AS23" s="597"/>
      <c r="AT23" s="597"/>
      <c r="AU23" s="59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c r="B24" s="68"/>
      <c r="C24" s="497"/>
      <c r="D24" s="497"/>
      <c r="E24" s="498"/>
      <c r="F24" s="587"/>
      <c r="G24" s="588"/>
      <c r="H24" s="588"/>
      <c r="I24" s="588"/>
      <c r="J24" s="588"/>
      <c r="K24" s="53" t="str">
        <f>IF(AND('Mapa final'!$AH$37="Alta",'Mapa final'!$AJ$37="Leve"),CONCATENATE("R2C",'Mapa final'!$R$37),"")</f>
        <v/>
      </c>
      <c r="L24" s="54" t="str">
        <f>IF(AND('Mapa final'!$AH$38="Alta",'Mapa final'!$AJ$38="Leve"),CONCATENATE("R2C",'Mapa final'!$R$38),"")</f>
        <v/>
      </c>
      <c r="M24" s="54" t="str">
        <f>IF(AND('Mapa final'!$AH$39="Alta",'Mapa final'!$AJ$39="Leve"),CONCATENATE("R2C",'Mapa final'!$R$39),"")</f>
        <v/>
      </c>
      <c r="N24" s="54" t="str">
        <f>IF(AND('Mapa final'!$AH$40="Alta",'Mapa final'!$AJ$40="Leve"),CONCATENATE("R2C",'Mapa final'!$R$40),"")</f>
        <v/>
      </c>
      <c r="O24" s="54" t="str">
        <f>IF(AND('Mapa final'!$AH$41="Alta",'Mapa final'!$AJ$41="Leve"),CONCATENATE("R2C",'Mapa final'!$R$41),"")</f>
        <v/>
      </c>
      <c r="P24" s="55" t="str">
        <f>IF(AND('Mapa final'!$AH$42="Alta",'Mapa final'!$AJ$42="Leve"),CONCATENATE("R2C",'Mapa final'!$R$42),"")</f>
        <v/>
      </c>
      <c r="Q24" s="53" t="str">
        <f>IF(AND('Mapa final'!$AH$37="Alta",'Mapa final'!$AJ$37="Menor"),CONCATENATE("R2C",'Mapa final'!$R$37),"")</f>
        <v/>
      </c>
      <c r="R24" s="54" t="str">
        <f>IF(AND('Mapa final'!$AH$38="Alta",'Mapa final'!$AJ$38="Menor"),CONCATENATE("R2C",'Mapa final'!$R$38),"")</f>
        <v/>
      </c>
      <c r="S24" s="54" t="str">
        <f>IF(AND('Mapa final'!$AH$39="Alta",'Mapa final'!$AJ$39="Menor"),CONCATENATE("R2C",'Mapa final'!$R$39),"")</f>
        <v/>
      </c>
      <c r="T24" s="54" t="str">
        <f>IF(AND('Mapa final'!$AH$40="Alta",'Mapa final'!$AJ$40="Menor"),CONCATENATE("R2C",'Mapa final'!$R$40),"")</f>
        <v/>
      </c>
      <c r="U24" s="54" t="str">
        <f>IF(AND('Mapa final'!$AH$41="Alta",'Mapa final'!$AJ$41="Menor"),CONCATENATE("R2C",'Mapa final'!$R$41),"")</f>
        <v/>
      </c>
      <c r="V24" s="55" t="str">
        <f>IF(AND('Mapa final'!$AH$42="Alta",'Mapa final'!$AJ$42="Menor"),CONCATENATE("R2C",'Mapa final'!$R$42),"")</f>
        <v/>
      </c>
      <c r="W24" s="38" t="str">
        <f>IF(AND('Mapa final'!$AH$37="Alta",'Mapa final'!$AJ$37="Moderado"),CONCATENATE("R2C",'Mapa final'!$R$37),"")</f>
        <v/>
      </c>
      <c r="X24" s="39" t="str">
        <f>IF(AND('Mapa final'!$AH$38="Alta",'Mapa final'!$AJ$38="Moderado"),CONCATENATE("R2C",'Mapa final'!$R$38),"")</f>
        <v/>
      </c>
      <c r="Y24" s="39" t="str">
        <f>IF(AND('Mapa final'!$AH$39="Alta",'Mapa final'!$AJ$39="Moderado"),CONCATENATE("R2C",'Mapa final'!$R$39),"")</f>
        <v/>
      </c>
      <c r="Z24" s="39" t="str">
        <f>IF(AND('Mapa final'!$AH$40="Alta",'Mapa final'!$AJ$40="Moderado"),CONCATENATE("R2C",'Mapa final'!$R$40),"")</f>
        <v/>
      </c>
      <c r="AA24" s="39" t="str">
        <f>IF(AND('Mapa final'!$AH$41="Alta",'Mapa final'!$AJ$41="Moderado"),CONCATENATE("R2C",'Mapa final'!$R$41),"")</f>
        <v/>
      </c>
      <c r="AB24" s="40" t="str">
        <f>IF(AND('Mapa final'!$AH$42="Alta",'Mapa final'!$AJ$42="Moderado"),CONCATENATE("R2C",'Mapa final'!$R$42),"")</f>
        <v/>
      </c>
      <c r="AC24" s="38" t="str">
        <f>IF(AND('Mapa final'!$AH$37="Alta",'Mapa final'!$AJ$37="Mayor"),CONCATENATE("R2C",'Mapa final'!$R$37),"")</f>
        <v/>
      </c>
      <c r="AD24" s="39" t="str">
        <f>IF(AND('Mapa final'!$AH$38="Alta",'Mapa final'!$AJ$38="Mayor"),CONCATENATE("R2C",'Mapa final'!$R$38),"")</f>
        <v/>
      </c>
      <c r="AE24" s="39" t="str">
        <f>IF(AND('Mapa final'!$AH$39="Alta",'Mapa final'!$AJ$39="Mayor"),CONCATENATE("R2C",'Mapa final'!$R$39),"")</f>
        <v/>
      </c>
      <c r="AF24" s="39" t="str">
        <f>IF(AND('Mapa final'!$AH$40="Alta",'Mapa final'!$AJ$40="Mayor"),CONCATENATE("R2C",'Mapa final'!$R$40),"")</f>
        <v/>
      </c>
      <c r="AG24" s="39" t="str">
        <f>IF(AND('Mapa final'!$AH$41="Alta",'Mapa final'!$AJ$41="Mayor"),CONCATENATE("R2C",'Mapa final'!$R$41),"")</f>
        <v/>
      </c>
      <c r="AH24" s="40" t="str">
        <f>IF(AND('Mapa final'!$AH$42="Alta",'Mapa final'!$AJ$42="Mayor"),CONCATENATE("R2C",'Mapa final'!$R$42),"")</f>
        <v/>
      </c>
      <c r="AI24" s="41" t="str">
        <f>IF(AND('Mapa final'!$AH$37="Alta",'Mapa final'!$AJ$37="Catastrófico"),CONCATENATE("R2C",'Mapa final'!$R$37),"")</f>
        <v/>
      </c>
      <c r="AJ24" s="42" t="str">
        <f>IF(AND('Mapa final'!$AH$38="Alta",'Mapa final'!$AJ$38="Catastrófico"),CONCATENATE("R2C",'Mapa final'!$R$38),"")</f>
        <v/>
      </c>
      <c r="AK24" s="42" t="str">
        <f>IF(AND('Mapa final'!$AH$39="Alta",'Mapa final'!$AJ$39="Catastrófico"),CONCATENATE("R2C",'Mapa final'!$R$39),"")</f>
        <v/>
      </c>
      <c r="AL24" s="42" t="str">
        <f>IF(AND('Mapa final'!$AH$40="Alta",'Mapa final'!$AJ$40="Catastrófico"),CONCATENATE("R2C",'Mapa final'!$R$40),"")</f>
        <v/>
      </c>
      <c r="AM24" s="42" t="str">
        <f>IF(AND('Mapa final'!$AH$41="Alta",'Mapa final'!$AJ$41="Catastrófico"),CONCATENATE("R2C",'Mapa final'!$R$41),"")</f>
        <v/>
      </c>
      <c r="AN24" s="43" t="str">
        <f>IF(AND('Mapa final'!$AH$42="Alta",'Mapa final'!$AJ$42="Catastrófico"),CONCATENATE("R2C",'Mapa final'!$R$42),"")</f>
        <v/>
      </c>
      <c r="AO24" s="68"/>
      <c r="AP24" s="596"/>
      <c r="AQ24" s="597"/>
      <c r="AR24" s="597"/>
      <c r="AS24" s="597"/>
      <c r="AT24" s="597"/>
      <c r="AU24" s="59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c r="B25" s="68"/>
      <c r="C25" s="497"/>
      <c r="D25" s="497"/>
      <c r="E25" s="498"/>
      <c r="F25" s="587"/>
      <c r="G25" s="588"/>
      <c r="H25" s="588"/>
      <c r="I25" s="588"/>
      <c r="J25" s="588"/>
      <c r="K25" s="53" t="str">
        <f>IF(AND('Mapa final'!$AH$43="Alta",'Mapa final'!$AJ$43="Leve"),CONCATENATE("R2C",'Mapa final'!$R$43),"")</f>
        <v/>
      </c>
      <c r="L25" s="54" t="str">
        <f>IF(AND('Mapa final'!$AH$44="Alta",'Mapa final'!$AJ$44="Leve"),CONCATENATE("R2C",'Mapa final'!$R$44),"")</f>
        <v/>
      </c>
      <c r="M25" s="54" t="str">
        <f>IF(AND('Mapa final'!$AH$45="Alta",'Mapa final'!$AJ$45="Leve"),CONCATENATE("R2C",'Mapa final'!$R$45),"")</f>
        <v/>
      </c>
      <c r="N25" s="54" t="str">
        <f>IF(AND('Mapa final'!$AH$46="Alta",'Mapa final'!$AJ$46="Leve"),CONCATENATE("R2C",'Mapa final'!$R$46),"")</f>
        <v/>
      </c>
      <c r="O25" s="54" t="str">
        <f>IF(AND('Mapa final'!$AH$47="Alta",'Mapa final'!$AJ$47="Leve"),CONCATENATE("R2C",'Mapa final'!$R$47),"")</f>
        <v/>
      </c>
      <c r="P25" s="55" t="str">
        <f>IF(AND('Mapa final'!$AH$48="Alta",'Mapa final'!$AJ$48="Leve"),CONCATENATE("R2C",'Mapa final'!$R$48),"")</f>
        <v/>
      </c>
      <c r="Q25" s="53" t="str">
        <f>IF(AND('Mapa final'!$AH$43="Alta",'Mapa final'!$AJ$43="Menor"),CONCATENATE("R2C",'Mapa final'!$R$43),"")</f>
        <v/>
      </c>
      <c r="R25" s="54" t="str">
        <f>IF(AND('Mapa final'!$AH$44="Alta",'Mapa final'!$AJ$44="Menor"),CONCATENATE("R2C",'Mapa final'!$R$44),"")</f>
        <v/>
      </c>
      <c r="S25" s="54" t="str">
        <f>IF(AND('Mapa final'!$AH$45="Alta",'Mapa final'!$AJ$45="Menor"),CONCATENATE("R2C",'Mapa final'!$R$45),"")</f>
        <v/>
      </c>
      <c r="T25" s="54" t="str">
        <f>IF(AND('Mapa final'!$AH$46="Alta",'Mapa final'!$AJ$46="Menor"),CONCATENATE("R2C",'Mapa final'!$R$46),"")</f>
        <v/>
      </c>
      <c r="U25" s="54" t="str">
        <f>IF(AND('Mapa final'!$AH$47="Alta",'Mapa final'!$AJ$47="LMenor"),CONCATENATE("R2C",'Mapa final'!$R$47),"")</f>
        <v/>
      </c>
      <c r="V25" s="55" t="str">
        <f>IF(AND('Mapa final'!$AH$48="Alta",'Mapa final'!$AJ$48="Menor"),CONCATENATE("R2C",'Mapa final'!$R$48),"")</f>
        <v/>
      </c>
      <c r="W25" s="38" t="str">
        <f>IF(AND('Mapa final'!$AH$43="Alta",'Mapa final'!$AJ$43="Moderado"),CONCATENATE("R2C",'Mapa final'!$R$43),"")</f>
        <v/>
      </c>
      <c r="X25" s="39" t="str">
        <f>IF(AND('Mapa final'!$AH$44="Alta",'Mapa final'!$AJ$44="Moderado"),CONCATENATE("R2C",'Mapa final'!$R$44),"")</f>
        <v/>
      </c>
      <c r="Y25" s="39" t="str">
        <f>IF(AND('Mapa final'!$AH$45="Alta",'Mapa final'!$AJ$45="Moderado"),CONCATENATE("R2C",'Mapa final'!$R$45),"")</f>
        <v/>
      </c>
      <c r="Z25" s="39" t="str">
        <f>IF(AND('Mapa final'!$AH$46="Alta",'Mapa final'!$AJ$46="Moderado"),CONCATENATE("R2C",'Mapa final'!$R$46),"")</f>
        <v/>
      </c>
      <c r="AA25" s="39" t="str">
        <f>IF(AND('Mapa final'!$AH$47="Alta",'Mapa final'!$AJ$47="Moderado"),CONCATENATE("R2C",'Mapa final'!$R$47),"")</f>
        <v/>
      </c>
      <c r="AB25" s="40" t="str">
        <f>IF(AND('Mapa final'!$AH$48="Alta",'Mapa final'!$AJ$48="Moderado"),CONCATENATE("R2C",'Mapa final'!$R$48),"")</f>
        <v/>
      </c>
      <c r="AC25" s="38" t="str">
        <f>IF(AND('Mapa final'!$AH$43="Alta",'Mapa final'!$AJ$43="Mayor"),CONCATENATE("R2C",'Mapa final'!$R$43),"")</f>
        <v/>
      </c>
      <c r="AD25" s="39" t="str">
        <f>IF(AND('Mapa final'!$AH$44="Alta",'Mapa final'!$AJ$44="Mayor"),CONCATENATE("R2C",'Mapa final'!$R$44),"")</f>
        <v/>
      </c>
      <c r="AE25" s="39" t="str">
        <f>IF(AND('Mapa final'!$AH$45="Alta",'Mapa final'!$AJ$45="Mayor"),CONCATENATE("R2C",'Mapa final'!$R$45),"")</f>
        <v/>
      </c>
      <c r="AF25" s="39" t="str">
        <f>IF(AND('Mapa final'!$AH$46="Alta",'Mapa final'!$AJ$46="Mayor"),CONCATENATE("R2C",'Mapa final'!$R$46),"")</f>
        <v/>
      </c>
      <c r="AG25" s="39" t="str">
        <f>IF(AND('Mapa final'!$AH$47="Alta",'Mapa final'!$AJ$47="Mayor"),CONCATENATE("R2C",'Mapa final'!$R$47),"")</f>
        <v/>
      </c>
      <c r="AH25" s="40" t="str">
        <f>IF(AND('Mapa final'!$AH$48="Alta",'Mapa final'!$AJ$48="Mayor"),CONCATENATE("R2C",'Mapa final'!$R$48),"")</f>
        <v/>
      </c>
      <c r="AI25" s="41" t="str">
        <f>IF(AND('Mapa final'!$AH$43="Alta",'Mapa final'!$AJ$43="Catastrófico"),CONCATENATE("R2C",'Mapa final'!$R$43),"")</f>
        <v/>
      </c>
      <c r="AJ25" s="42" t="str">
        <f>IF(AND('Mapa final'!$AH$44="Alta",'Mapa final'!$AJ$44="Catastrófico"),CONCATENATE("R2C",'Mapa final'!$R$44),"")</f>
        <v/>
      </c>
      <c r="AK25" s="42" t="str">
        <f>IF(AND('Mapa final'!$AH$45="Alta",'Mapa final'!$AJ$45="Catastrófico"),CONCATENATE("R2C",'Mapa final'!$R$45),"")</f>
        <v/>
      </c>
      <c r="AL25" s="42" t="str">
        <f>IF(AND('Mapa final'!$AH$46="Alta",'Mapa final'!$AJ$46="Catastrófico"),CONCATENATE("R2C",'Mapa final'!$R$46),"")</f>
        <v/>
      </c>
      <c r="AM25" s="42" t="str">
        <f>IF(AND('Mapa final'!$AH$47="Alta",'Mapa final'!$AJ$47="LCatastrófico"),CONCATENATE("R2C",'Mapa final'!$R$47),"")</f>
        <v/>
      </c>
      <c r="AN25" s="43" t="str">
        <f>IF(AND('Mapa final'!$AH$48="Alta",'Mapa final'!$AJ$48="Catastrófico"),CONCATENATE("R2C",'Mapa final'!$R$48),"")</f>
        <v/>
      </c>
      <c r="AO25" s="68"/>
      <c r="AP25" s="596"/>
      <c r="AQ25" s="597"/>
      <c r="AR25" s="597"/>
      <c r="AS25" s="597"/>
      <c r="AT25" s="597"/>
      <c r="AU25" s="598"/>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c r="B26" s="68"/>
      <c r="C26" s="497"/>
      <c r="D26" s="497"/>
      <c r="E26" s="498"/>
      <c r="F26" s="587"/>
      <c r="G26" s="588"/>
      <c r="H26" s="588"/>
      <c r="I26" s="588"/>
      <c r="J26" s="588"/>
      <c r="K26" s="53" t="str">
        <f>IF(AND('Mapa final'!$AH$49="Alta",'Mapa final'!$AJ$49="Leve"),CONCATENATE("R2C",'Mapa final'!$R$49),"")</f>
        <v/>
      </c>
      <c r="L26" s="54" t="str">
        <f>IF(AND('Mapa final'!$AH$50="Alta",'Mapa final'!$AJ$50="Leve"),CONCATENATE("R2C",'Mapa final'!$R$50),"")</f>
        <v/>
      </c>
      <c r="M26" s="54" t="str">
        <f>IF(AND('Mapa final'!$AH$51="Alta",'Mapa final'!$AJ$51="Leve"),CONCATENATE("R2C",'Mapa final'!$R$51),"")</f>
        <v/>
      </c>
      <c r="N26" s="54" t="str">
        <f>IF(AND('Mapa final'!$AH$52="Alta",'Mapa final'!$AJ$52="Leve"),CONCATENATE("R2C",'Mapa final'!$R$52),"")</f>
        <v/>
      </c>
      <c r="O26" s="54" t="str">
        <f>IF(AND('Mapa final'!$AH$53="Alta",'Mapa final'!$AJ$53="Leve"),CONCATENATE("R2C",'Mapa final'!$R$53),"")</f>
        <v/>
      </c>
      <c r="P26" s="55" t="str">
        <f>IF(AND('Mapa final'!$AH$54="Alta",'Mapa final'!$AJ$54="Leve"),CONCATENATE("R2C",'Mapa final'!$R$54),"")</f>
        <v/>
      </c>
      <c r="Q26" s="53" t="str">
        <f>IF(AND('Mapa final'!$AH$49="Alta",'Mapa final'!$AJ$49="Menor"),CONCATENATE("R2C",'Mapa final'!$R$49),"")</f>
        <v/>
      </c>
      <c r="R26" s="54" t="str">
        <f>IF(AND('Mapa final'!$AH$50="Alta",'Mapa final'!$AJ$50="Menor"),CONCATENATE("R2C",'Mapa final'!$R$50),"")</f>
        <v/>
      </c>
      <c r="S26" s="54" t="str">
        <f>IF(AND('Mapa final'!$AH$51="Alta",'Mapa final'!$AJ$51="Menor"),CONCATENATE("R2C",'Mapa final'!$R$51),"")</f>
        <v/>
      </c>
      <c r="T26" s="54" t="str">
        <f>IF(AND('Mapa final'!$AH$52="Alta",'Mapa final'!$AJ$52="Menor"),CONCATENATE("R2C",'Mapa final'!$R$52),"")</f>
        <v/>
      </c>
      <c r="U26" s="54" t="str">
        <f>IF(AND('Mapa final'!$AH$53="Alta",'Mapa final'!$AJ$53="Menor"),CONCATENATE("R2C",'Mapa final'!$R$53),"")</f>
        <v/>
      </c>
      <c r="V26" s="55" t="str">
        <f>IF(AND('Mapa final'!$AH$54="Alta",'Mapa final'!$AJ$54="Menor"),CONCATENATE("R2C",'Mapa final'!$R$54),"")</f>
        <v/>
      </c>
      <c r="W26" s="38" t="str">
        <f>IF(AND('Mapa final'!$AH$49="Alta",'Mapa final'!$AJ$49="Moderado"),CONCATENATE("R2C",'Mapa final'!$R$49),"")</f>
        <v/>
      </c>
      <c r="X26" s="39" t="str">
        <f>IF(AND('Mapa final'!$AH$50="Alta",'Mapa final'!$AJ$50="Moderado"),CONCATENATE("R2C",'Mapa final'!$R$50),"")</f>
        <v/>
      </c>
      <c r="Y26" s="39" t="str">
        <f>IF(AND('Mapa final'!$AH$51="Alta",'Mapa final'!$AJ$51="Moderado"),CONCATENATE("R2C",'Mapa final'!$R$51),"")</f>
        <v/>
      </c>
      <c r="Z26" s="39" t="str">
        <f>IF(AND('Mapa final'!$AH$52="Alta",'Mapa final'!$AJ$52="Moderado"),CONCATENATE("R2C",'Mapa final'!$R$52),"")</f>
        <v/>
      </c>
      <c r="AA26" s="39" t="str">
        <f>IF(AND('Mapa final'!$AH$53="Alta",'Mapa final'!$AJ$53="Moderado"),CONCATENATE("R2C",'Mapa final'!$R$53),"")</f>
        <v/>
      </c>
      <c r="AB26" s="40" t="str">
        <f>IF(AND('Mapa final'!$AH$54="Alta",'Mapa final'!$AJ$54="Moderado"),CONCATENATE("R2C",'Mapa final'!$R$54),"")</f>
        <v/>
      </c>
      <c r="AC26" s="38" t="str">
        <f>IF(AND('Mapa final'!$AH$49="Alta",'Mapa final'!$AJ$49="Mayor"),CONCATENATE("R2C",'Mapa final'!$R$49),"")</f>
        <v/>
      </c>
      <c r="AD26" s="39" t="str">
        <f>IF(AND('Mapa final'!$AH$50="Alta",'Mapa final'!$AJ$50="Mayor"),CONCATENATE("R2C",'Mapa final'!$R$50),"")</f>
        <v/>
      </c>
      <c r="AE26" s="39" t="str">
        <f>IF(AND('Mapa final'!$AH$51="Alta",'Mapa final'!$AJ$51="Mayor"),CONCATENATE("R2C",'Mapa final'!$R$51),"")</f>
        <v/>
      </c>
      <c r="AF26" s="39" t="str">
        <f>IF(AND('Mapa final'!$AH$52="Alta",'Mapa final'!$AJ$52="Mayor"),CONCATENATE("R2C",'Mapa final'!$R$52),"")</f>
        <v/>
      </c>
      <c r="AG26" s="39" t="str">
        <f>IF(AND('Mapa final'!$AH$53="Alta",'Mapa final'!$AJ$53="Mayor"),CONCATENATE("R2C",'Mapa final'!$R$53),"")</f>
        <v/>
      </c>
      <c r="AH26" s="40" t="str">
        <f>IF(AND('Mapa final'!$AH$54="Alta",'Mapa final'!$AJ$54="Mayor"),CONCATENATE("R2C",'Mapa final'!$R$54),"")</f>
        <v/>
      </c>
      <c r="AI26" s="41" t="str">
        <f>IF(AND('Mapa final'!$AH$49="Alta",'Mapa final'!$AJ$49="Catastrófico"),CONCATENATE("R2C",'Mapa final'!$R$49),"")</f>
        <v/>
      </c>
      <c r="AJ26" s="42" t="str">
        <f>IF(AND('Mapa final'!$AH$50="Alta",'Mapa final'!$AJ$50="Catastrófico"),CONCATENATE("R2C",'Mapa final'!$R$50),"")</f>
        <v/>
      </c>
      <c r="AK26" s="42" t="str">
        <f>IF(AND('Mapa final'!$AH$51="Alta",'Mapa final'!$AJ$51="Catastrófico"),CONCATENATE("R2C",'Mapa final'!$R$51),"")</f>
        <v/>
      </c>
      <c r="AL26" s="42" t="str">
        <f>IF(AND('Mapa final'!$AH$52="Alta",'Mapa final'!$AJ$52="Catastrófico"),CONCATENATE("R2C",'Mapa final'!$R$52),"")</f>
        <v/>
      </c>
      <c r="AM26" s="42" t="str">
        <f>IF(AND('Mapa final'!$AH$53="Alta",'Mapa final'!$AJ$53="Catastrófico"),CONCATENATE("R2C",'Mapa final'!$R$53),"")</f>
        <v/>
      </c>
      <c r="AN26" s="43" t="str">
        <f>IF(AND('Mapa final'!$AH$54="Alta",'Mapa final'!$AJ$54="Catastrófico"),CONCATENATE("R2C",'Mapa final'!$R$54),"")</f>
        <v/>
      </c>
      <c r="AO26" s="68"/>
      <c r="AP26" s="596"/>
      <c r="AQ26" s="597"/>
      <c r="AR26" s="597"/>
      <c r="AS26" s="597"/>
      <c r="AT26" s="597"/>
      <c r="AU26" s="59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c r="B27" s="68"/>
      <c r="C27" s="497"/>
      <c r="D27" s="497"/>
      <c r="E27" s="498"/>
      <c r="F27" s="587"/>
      <c r="G27" s="588"/>
      <c r="H27" s="588"/>
      <c r="I27" s="588"/>
      <c r="J27" s="588"/>
      <c r="K27" s="53" t="str">
        <f>IF(AND('Mapa final'!$AH$55="Alta",'Mapa final'!$AJ$55="Leve"),CONCATENATE("R2C",'Mapa final'!$R$55),"")</f>
        <v/>
      </c>
      <c r="L27" s="54" t="str">
        <f>IF(AND('Mapa final'!$AH$56="Alta",'Mapa final'!$AJ$56="Leve"),CONCATENATE("R2C",'Mapa final'!$R$56),"")</f>
        <v/>
      </c>
      <c r="M27" s="54" t="str">
        <f>IF(AND('Mapa final'!$AH$57="Alta",'Mapa final'!$AJ$57="Leve"),CONCATENATE("R2C",'Mapa final'!$R$57),"")</f>
        <v/>
      </c>
      <c r="N27" s="54" t="str">
        <f>IF(AND('Mapa final'!$AH$58="Alta",'Mapa final'!$AJ$58="Leve"),CONCATENATE("R2C",'Mapa final'!$R$58),"")</f>
        <v/>
      </c>
      <c r="O27" s="54" t="str">
        <f>IF(AND('Mapa final'!$AH$59="Alta",'Mapa final'!$AJ$59="Leve"),CONCATENATE("R2C",'Mapa final'!$R$59),"")</f>
        <v/>
      </c>
      <c r="P27" s="55" t="str">
        <f>IF(AND('Mapa final'!$AH$70="Alta",'Mapa final'!$AJ$60="Leve"),CONCATENATE("R2C",'Mapa final'!$R$60),"")</f>
        <v/>
      </c>
      <c r="Q27" s="53" t="str">
        <f>IF(AND('Mapa final'!$AH$55="Alta",'Mapa final'!$AJ$55="Menor"),CONCATENATE("R2C",'Mapa final'!$R$55),"")</f>
        <v/>
      </c>
      <c r="R27" s="54" t="str">
        <f>IF(AND('Mapa final'!$AH$56="Alta",'Mapa final'!$AJ$56="Menor"),CONCATENATE("R2C",'Mapa final'!$R$56),"")</f>
        <v/>
      </c>
      <c r="S27" s="54" t="str">
        <f>IF(AND('Mapa final'!$AH$57="Alta",'Mapa final'!$AJ$57="Menor"),CONCATENATE("R2C",'Mapa final'!$R$57),"")</f>
        <v/>
      </c>
      <c r="T27" s="54" t="str">
        <f>IF(AND('Mapa final'!$AH$58="Alta",'Mapa final'!$AJ$58="Menor"),CONCATENATE("R2C",'Mapa final'!$R$58),"")</f>
        <v/>
      </c>
      <c r="U27" s="54" t="str">
        <f>IF(AND('Mapa final'!$AH$59="Alta",'Mapa final'!$AJ$59="Menor"),CONCATENATE("R2C",'Mapa final'!$R$59),"")</f>
        <v/>
      </c>
      <c r="V27" s="55" t="str">
        <f>IF(AND('Mapa final'!$AH$70="Alta",'Mapa final'!$AJ$60="Menor"),CONCATENATE("R2C",'Mapa final'!$R$60),"")</f>
        <v/>
      </c>
      <c r="W27" s="38" t="str">
        <f>IF(AND('Mapa final'!$AH$55="Alta",'Mapa final'!$AJ$55="Moderado"),CONCATENATE("R2C",'Mapa final'!$R$55),"")</f>
        <v/>
      </c>
      <c r="X27" s="39" t="str">
        <f>IF(AND('Mapa final'!$AH$56="Alta",'Mapa final'!$AJ$56="Moderado"),CONCATENATE("R2C",'Mapa final'!$R$56),"")</f>
        <v/>
      </c>
      <c r="Y27" s="39" t="str">
        <f>IF(AND('Mapa final'!$AH$57="Alta",'Mapa final'!$AJ$57="Moderado"),CONCATENATE("R2C",'Mapa final'!$R$57),"")</f>
        <v/>
      </c>
      <c r="Z27" s="39" t="str">
        <f>IF(AND('Mapa final'!$AH$58="Alta",'Mapa final'!$AJ$58="Moderado"),CONCATENATE("R2C",'Mapa final'!$R$58),"")</f>
        <v/>
      </c>
      <c r="AA27" s="39" t="str">
        <f>IF(AND('Mapa final'!$AH$59="Alta",'Mapa final'!$AJ$59="Moderado"),CONCATENATE("R2C",'Mapa final'!$R$59),"")</f>
        <v/>
      </c>
      <c r="AB27" s="40" t="str">
        <f>IF(AND('Mapa final'!$AH$70="Alta",'Mapa final'!$AJ$60="Moderado"),CONCATENATE("R2C",'Mapa final'!$R$60),"")</f>
        <v/>
      </c>
      <c r="AC27" s="38" t="str">
        <f>IF(AND('Mapa final'!$AH$55="Alta",'Mapa final'!$AJ$55="Mayor"),CONCATENATE("R2C",'Mapa final'!$R$55),"")</f>
        <v/>
      </c>
      <c r="AD27" s="39" t="str">
        <f>IF(AND('Mapa final'!$AH$56="Alta",'Mapa final'!$AJ$56="Mayor"),CONCATENATE("R2C",'Mapa final'!$R$56),"")</f>
        <v/>
      </c>
      <c r="AE27" s="39" t="str">
        <f>IF(AND('Mapa final'!$AH$57="Alta",'Mapa final'!$AJ$57="Mayor"),CONCATENATE("R2C",'Mapa final'!$R$57),"")</f>
        <v/>
      </c>
      <c r="AF27" s="39" t="str">
        <f>IF(AND('Mapa final'!$AH$58="Alta",'Mapa final'!$AJ$58="Mayor"),CONCATENATE("R2C",'Mapa final'!$R$58),"")</f>
        <v/>
      </c>
      <c r="AG27" s="39" t="str">
        <f>IF(AND('Mapa final'!$AH$59="Alta",'Mapa final'!$AJ$59="Mayor"),CONCATENATE("R2C",'Mapa final'!$R$59),"")</f>
        <v/>
      </c>
      <c r="AH27" s="40" t="str">
        <f>IF(AND('Mapa final'!$AH$70="Alta",'Mapa final'!$AJ$60="Mayor"),CONCATENATE("R2C",'Mapa final'!$R$60),"")</f>
        <v/>
      </c>
      <c r="AI27" s="41" t="str">
        <f>IF(AND('Mapa final'!$AH$55="Alta",'Mapa final'!$AJ$55="Catastrófico"),CONCATENATE("R2C",'Mapa final'!$R$55),"")</f>
        <v/>
      </c>
      <c r="AJ27" s="42" t="str">
        <f>IF(AND('Mapa final'!$AH$56="Alta",'Mapa final'!$AJ$56="Catastrófico"),CONCATENATE("R2C",'Mapa final'!$R$56),"")</f>
        <v/>
      </c>
      <c r="AK27" s="42" t="str">
        <f>IF(AND('Mapa final'!$AH$57="Alta",'Mapa final'!$AJ$57="Catastrófico"),CONCATENATE("R2C",'Mapa final'!$R$57),"")</f>
        <v/>
      </c>
      <c r="AL27" s="42" t="str">
        <f>IF(AND('Mapa final'!$AH$58="Alta",'Mapa final'!$AJ$58="Catastrófico"),CONCATENATE("R2C",'Mapa final'!$R$58),"")</f>
        <v/>
      </c>
      <c r="AM27" s="42" t="str">
        <f>IF(AND('Mapa final'!$AH$59="Alta",'Mapa final'!$AJ$59="Catastrófico"),CONCATENATE("R2C",'Mapa final'!$R$59),"")</f>
        <v/>
      </c>
      <c r="AN27" s="43" t="str">
        <f>IF(AND('Mapa final'!$AH$70="Alta",'Mapa final'!$AJ$60="Catastrófico"),CONCATENATE("R2C",'Mapa final'!$R$60),"")</f>
        <v/>
      </c>
      <c r="AO27" s="68"/>
      <c r="AP27" s="596"/>
      <c r="AQ27" s="597"/>
      <c r="AR27" s="597"/>
      <c r="AS27" s="597"/>
      <c r="AT27" s="597"/>
      <c r="AU27" s="59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c r="B28" s="68"/>
      <c r="C28" s="497"/>
      <c r="D28" s="497"/>
      <c r="E28" s="498"/>
      <c r="F28" s="587"/>
      <c r="G28" s="588"/>
      <c r="H28" s="588"/>
      <c r="I28" s="588"/>
      <c r="J28" s="588"/>
      <c r="K28" s="53" t="str">
        <f>IF(AND('Mapa final'!$AH$61="Alta",'Mapa final'!$AJ$61="Leve"),CONCATENATE("R2C",'Mapa final'!$R$61),"")</f>
        <v/>
      </c>
      <c r="L28" s="54" t="str">
        <f>IF(AND('Mapa final'!$AH$62="Alta",'Mapa final'!$AJ$62="Leve"),CONCATENATE("R2C",'Mapa final'!$R$62),"")</f>
        <v/>
      </c>
      <c r="M28" s="54" t="str">
        <f>IF(AND('Mapa final'!$AH$63="Alta",'Mapa final'!$AJ$63="Leve"),CONCATENATE("R2C",'Mapa final'!$R$63),"")</f>
        <v/>
      </c>
      <c r="N28" s="54" t="str">
        <f>IF(AND('Mapa final'!$AH$64="Alta",'Mapa final'!$AJ$64="Leve"),CONCATENATE("R2C",'Mapa final'!$R$64),"")</f>
        <v/>
      </c>
      <c r="O28" s="54" t="str">
        <f>IF(AND('Mapa final'!$AH$65="Alta",'Mapa final'!$AJ$65="Leve"),CONCATENATE("R2C",'Mapa final'!$R$65),"")</f>
        <v/>
      </c>
      <c r="P28" s="55" t="str">
        <f>IF(AND('Mapa final'!$AH$66="Alta",'Mapa final'!$AJ$66="Leve"),CONCATENATE("R2C",'Mapa final'!$R$66),"")</f>
        <v/>
      </c>
      <c r="Q28" s="53" t="str">
        <f>IF(AND('Mapa final'!$AH$61="Alta",'Mapa final'!$AJ$61="Menor"),CONCATENATE("R2C",'Mapa final'!$R$61),"")</f>
        <v/>
      </c>
      <c r="R28" s="54" t="str">
        <f>IF(AND('Mapa final'!$AH$62="Alta",'Mapa final'!$AJ$62="Menor"),CONCATENATE("R2C",'Mapa final'!$R$62),"")</f>
        <v/>
      </c>
      <c r="S28" s="54" t="str">
        <f>IF(AND('Mapa final'!$AH$63="Alta",'Mapa final'!$AJ$63="Menor"),CONCATENATE("R2C",'Mapa final'!$R$63),"")</f>
        <v/>
      </c>
      <c r="T28" s="54" t="str">
        <f>IF(AND('Mapa final'!$AH$64="Alta",'Mapa final'!$AJ$64="Menor"),CONCATENATE("R2C",'Mapa final'!$R$64),"")</f>
        <v/>
      </c>
      <c r="U28" s="54" t="str">
        <f>IF(AND('Mapa final'!$AH$65="Alta",'Mapa final'!$AJ$65="Menor"),CONCATENATE("R2C",'Mapa final'!$R$65),"")</f>
        <v/>
      </c>
      <c r="V28" s="55" t="str">
        <f>IF(AND('Mapa final'!$AH$66="Alta",'Mapa final'!$AJ$66="Menor"),CONCATENATE("R2C",'Mapa final'!$R$66),"")</f>
        <v/>
      </c>
      <c r="W28" s="38" t="str">
        <f>IF(AND('Mapa final'!$AH$61="Alta",'Mapa final'!$AJ$61="Moderado"),CONCATENATE("R2C",'Mapa final'!$R$61),"")</f>
        <v/>
      </c>
      <c r="X28" s="39" t="str">
        <f>IF(AND('Mapa final'!$AH$62="Alta",'Mapa final'!$AJ$62="Moderado"),CONCATENATE("R2C",'Mapa final'!$R$62),"")</f>
        <v/>
      </c>
      <c r="Y28" s="39" t="str">
        <f>IF(AND('Mapa final'!$AH$63="Alta",'Mapa final'!$AJ$63="Moderado"),CONCATENATE("R2C",'Mapa final'!$R$63),"")</f>
        <v/>
      </c>
      <c r="Z28" s="39" t="str">
        <f>IF(AND('Mapa final'!$AH$64="Alta",'Mapa final'!$AJ$64="Moderado"),CONCATENATE("R2C",'Mapa final'!$R$64),"")</f>
        <v/>
      </c>
      <c r="AA28" s="39" t="str">
        <f>IF(AND('Mapa final'!$AH$65="Alta",'Mapa final'!$AJ$65="Moderado"),CONCATENATE("R2C",'Mapa final'!$R$65),"")</f>
        <v/>
      </c>
      <c r="AB28" s="40" t="str">
        <f>IF(AND('Mapa final'!$AH$66="Alta",'Mapa final'!$AJ$66="Moderado"),CONCATENATE("R2C",'Mapa final'!$R$66),"")</f>
        <v/>
      </c>
      <c r="AC28" s="38" t="str">
        <f>IF(AND('Mapa final'!$AH$61="Alta",'Mapa final'!$AJ$61="Mayor"),CONCATENATE("R2C",'Mapa final'!$R$61),"")</f>
        <v/>
      </c>
      <c r="AD28" s="39" t="str">
        <f>IF(AND('Mapa final'!$AH$62="Alta",'Mapa final'!$AJ$62="Mayor"),CONCATENATE("R2C",'Mapa final'!$R$62),"")</f>
        <v/>
      </c>
      <c r="AE28" s="39" t="str">
        <f>IF(AND('Mapa final'!$AH$63="Alta",'Mapa final'!$AJ$63="Mayor"),CONCATENATE("R2C",'Mapa final'!$R$63),"")</f>
        <v/>
      </c>
      <c r="AF28" s="39" t="str">
        <f>IF(AND('Mapa final'!$AH$64="Alta",'Mapa final'!$AJ$64="Mayor"),CONCATENATE("R2C",'Mapa final'!$R$64),"")</f>
        <v/>
      </c>
      <c r="AG28" s="39" t="str">
        <f>IF(AND('Mapa final'!$AH$65="Alta",'Mapa final'!$AJ$65="Mayor"),CONCATENATE("R2C",'Mapa final'!$R$65),"")</f>
        <v/>
      </c>
      <c r="AH28" s="40" t="str">
        <f>IF(AND('Mapa final'!$AH$66="Alta",'Mapa final'!$AJ$66="Mayor"),CONCATENATE("R2C",'Mapa final'!$R$66),"")</f>
        <v/>
      </c>
      <c r="AI28" s="41" t="str">
        <f>IF(AND('Mapa final'!$AH$61="Alta",'Mapa final'!$AJ$61="Catastrófico"),CONCATENATE("R2C",'Mapa final'!$R$61),"")</f>
        <v/>
      </c>
      <c r="AJ28" s="42" t="str">
        <f>IF(AND('Mapa final'!$AH$62="Alta",'Mapa final'!$AJ$62="Catastrófico"),CONCATENATE("R2C",'Mapa final'!$R$62),"")</f>
        <v/>
      </c>
      <c r="AK28" s="42" t="str">
        <f>IF(AND('Mapa final'!$AH$63="Alta",'Mapa final'!$AJ$63="Catastrófico"),CONCATENATE("R2C",'Mapa final'!$R$63),"")</f>
        <v/>
      </c>
      <c r="AL28" s="42" t="str">
        <f>IF(AND('Mapa final'!$AH$64="Alta",'Mapa final'!$AJ$64="Catastrófico"),CONCATENATE("R2C",'Mapa final'!$R$64),"")</f>
        <v/>
      </c>
      <c r="AM28" s="42" t="str">
        <f>IF(AND('Mapa final'!$AH$65="Alta",'Mapa final'!$AJ$65="Catastrófico"),CONCATENATE("R2C",'Mapa final'!$R$65),"")</f>
        <v/>
      </c>
      <c r="AN28" s="43" t="str">
        <f>IF(AND('Mapa final'!$AH$66="Alta",'Mapa final'!$AJ$66="Catastrófico"),CONCATENATE("R2C",'Mapa final'!$R$66),"")</f>
        <v/>
      </c>
      <c r="AO28" s="68"/>
      <c r="AP28" s="596"/>
      <c r="AQ28" s="597"/>
      <c r="AR28" s="597"/>
      <c r="AS28" s="597"/>
      <c r="AT28" s="597"/>
      <c r="AU28" s="59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c r="B29" s="68"/>
      <c r="C29" s="497"/>
      <c r="D29" s="497"/>
      <c r="E29" s="498"/>
      <c r="F29" s="587"/>
      <c r="G29" s="588"/>
      <c r="H29" s="588"/>
      <c r="I29" s="588"/>
      <c r="J29" s="588"/>
      <c r="K29" s="53" t="str">
        <f>IF(AND('Mapa final'!$AH$67="Alta",'Mapa final'!$AJ$67="Leve"),CONCATENATE("R2C",'Mapa final'!$R$67),"")</f>
        <v/>
      </c>
      <c r="L29" s="54" t="str">
        <f>IF(AND('Mapa final'!$AH$68="Alta",'Mapa final'!$AJ$68="Leve"),CONCATENATE("R2C",'Mapa final'!$R$68),"")</f>
        <v/>
      </c>
      <c r="M29" s="54" t="str">
        <f>IF(AND('Mapa final'!$AH$69="Alta",'Mapa final'!$AJ$69="Leve"),CONCATENATE("R2C",'Mapa final'!$R$69),"")</f>
        <v/>
      </c>
      <c r="N29" s="54" t="str">
        <f>IF(AND('Mapa final'!$AH$70="Alta",'Mapa final'!$AJ$70="Leve"),CONCATENATE("R2C",'Mapa final'!$R$70),"")</f>
        <v/>
      </c>
      <c r="O29" s="54" t="str">
        <f>IF(AND('Mapa final'!$AH$71="Alta",'Mapa final'!$AJ$71="Leve"),CONCATENATE("R2C",'Mapa final'!$R$71),"")</f>
        <v/>
      </c>
      <c r="P29" s="55" t="str">
        <f>IF(AND('Mapa final'!$AH$72="Alta",'Mapa final'!$AJ$72="Leve"),CONCATENATE("R2C",'Mapa final'!$R$72),"")</f>
        <v/>
      </c>
      <c r="Q29" s="53" t="str">
        <f>IF(AND('Mapa final'!$AH$67="Alta",'Mapa final'!$AJ$67="Menor"),CONCATENATE("R2C",'Mapa final'!$R$67),"")</f>
        <v/>
      </c>
      <c r="R29" s="54" t="str">
        <f>IF(AND('Mapa final'!$AH$68="Alta",'Mapa final'!$AJ$68="Menor"),CONCATENATE("R2C",'Mapa final'!$R$68),"")</f>
        <v/>
      </c>
      <c r="S29" s="54" t="str">
        <f>IF(AND('Mapa final'!$AH$69="Alta",'Mapa final'!$AJ$69="Menor"),CONCATENATE("R2C",'Mapa final'!$R$69),"")</f>
        <v/>
      </c>
      <c r="T29" s="54" t="str">
        <f>IF(AND('Mapa final'!$AH$70="Alta",'Mapa final'!$AJ$70="Menor"),CONCATENATE("R2C",'Mapa final'!$R$70),"")</f>
        <v/>
      </c>
      <c r="U29" s="54" t="str">
        <f>IF(AND('Mapa final'!$AH$71="Alta",'Mapa final'!$AJ$71="Menor"),CONCATENATE("R2C",'Mapa final'!$R$71),"")</f>
        <v/>
      </c>
      <c r="V29" s="55" t="str">
        <f>IF(AND('Mapa final'!$AH$72="Alta",'Mapa final'!$AJ$72="Menor"),CONCATENATE("R2C",'Mapa final'!$R$72),"")</f>
        <v/>
      </c>
      <c r="W29" s="38" t="str">
        <f>IF(AND('Mapa final'!$AH$67="Alta",'Mapa final'!$AJ$67="Moderado"),CONCATENATE("R2C",'Mapa final'!$R$67),"")</f>
        <v/>
      </c>
      <c r="X29" s="39" t="str">
        <f>IF(AND('Mapa final'!$AH$68="Alta",'Mapa final'!$AJ$68="Moderado"),CONCATENATE("R2C",'Mapa final'!$R$68),"")</f>
        <v/>
      </c>
      <c r="Y29" s="39" t="str">
        <f>IF(AND('Mapa final'!$AH$69="Alta",'Mapa final'!$AJ$69="Moderado"),CONCATENATE("R2C",'Mapa final'!$R$69),"")</f>
        <v/>
      </c>
      <c r="Z29" s="39" t="str">
        <f>IF(AND('Mapa final'!$AH$70="Alta",'Mapa final'!$AJ$70="Moderado"),CONCATENATE("R2C",'Mapa final'!$R$70),"")</f>
        <v/>
      </c>
      <c r="AA29" s="39" t="str">
        <f>IF(AND('Mapa final'!$AH$71="Alta",'Mapa final'!$AJ$71="Moderado"),CONCATENATE("R2C",'Mapa final'!$R$71),"")</f>
        <v/>
      </c>
      <c r="AB29" s="40" t="str">
        <f>IF(AND('Mapa final'!$AH$72="Alta",'Mapa final'!$AJ$72="Moderado"),CONCATENATE("R2C",'Mapa final'!$R$72),"")</f>
        <v/>
      </c>
      <c r="AC29" s="38" t="str">
        <f>IF(AND('Mapa final'!$AH$67="Alta",'Mapa final'!$AJ$67="Mayor"),CONCATENATE("R2C",'Mapa final'!$R$67),"")</f>
        <v/>
      </c>
      <c r="AD29" s="39" t="str">
        <f>IF(AND('Mapa final'!$AH$68="Alta",'Mapa final'!$AJ$68="Mayor"),CONCATENATE("R2C",'Mapa final'!$R$68),"")</f>
        <v/>
      </c>
      <c r="AE29" s="39" t="str">
        <f>IF(AND('Mapa final'!$AH$69="Alta",'Mapa final'!$AJ$69="Mayor"),CONCATENATE("R2C",'Mapa final'!$R$69),"")</f>
        <v/>
      </c>
      <c r="AF29" s="39" t="str">
        <f>IF(AND('Mapa final'!$AH$70="Alta",'Mapa final'!$AJ$70="Mayor"),CONCATENATE("R2C",'Mapa final'!$R$70),"")</f>
        <v/>
      </c>
      <c r="AG29" s="39" t="str">
        <f>IF(AND('Mapa final'!$AH$71="Alta",'Mapa final'!$AJ$71="Mayor"),CONCATENATE("R2C",'Mapa final'!$R$71),"")</f>
        <v/>
      </c>
      <c r="AH29" s="40" t="str">
        <f>IF(AND('Mapa final'!$AH$72="Alta",'Mapa final'!$AJ$72="Mayor"),CONCATENATE("R2C",'Mapa final'!$R$72),"")</f>
        <v/>
      </c>
      <c r="AI29" s="41" t="str">
        <f>IF(AND('Mapa final'!$AH$67="Alta",'Mapa final'!$AJ$67="Catastrófico"),CONCATENATE("R2C",'Mapa final'!$R$67),"")</f>
        <v/>
      </c>
      <c r="AJ29" s="42" t="str">
        <f>IF(AND('Mapa final'!$AH$68="Alta",'Mapa final'!$AJ$68="Catastrófico"),CONCATENATE("R2C",'Mapa final'!$R$68),"")</f>
        <v/>
      </c>
      <c r="AK29" s="42" t="str">
        <f>IF(AND('Mapa final'!$AH$69="Alta",'Mapa final'!$AJ$69="Catastrófico"),CONCATENATE("R2C",'Mapa final'!$R$69),"")</f>
        <v/>
      </c>
      <c r="AL29" s="42" t="str">
        <f>IF(AND('Mapa final'!$AH$70="Alta",'Mapa final'!$AJ$70="Catastrófico"),CONCATENATE("R2C",'Mapa final'!$R$70),"")</f>
        <v/>
      </c>
      <c r="AM29" s="42" t="str">
        <f>IF(AND('Mapa final'!$AH$71="Alta",'Mapa final'!$AJ$71="Catastrófico"),CONCATENATE("R2C",'Mapa final'!$R$71),"")</f>
        <v/>
      </c>
      <c r="AN29" s="43" t="str">
        <f>IF(AND('Mapa final'!$AH$72="Alta",'Mapa final'!$AJ$72="Catastrófico"),CONCATENATE("R2C",'Mapa final'!$R$72),"")</f>
        <v/>
      </c>
      <c r="AO29" s="68"/>
      <c r="AP29" s="596"/>
      <c r="AQ29" s="597"/>
      <c r="AR29" s="597"/>
      <c r="AS29" s="597"/>
      <c r="AT29" s="597"/>
      <c r="AU29" s="59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c r="B30" s="68"/>
      <c r="C30" s="497"/>
      <c r="D30" s="497"/>
      <c r="E30" s="498"/>
      <c r="F30" s="587"/>
      <c r="G30" s="588"/>
      <c r="H30" s="588"/>
      <c r="I30" s="588"/>
      <c r="J30" s="588"/>
      <c r="K30" s="53" t="str">
        <f>IF(AND('Mapa final'!$AH$73="Alta",'Mapa final'!$AJ$73="Leve"),CONCATENATE("R2C",'Mapa final'!$R$73),"")</f>
        <v/>
      </c>
      <c r="L30" s="54" t="str">
        <f>IF(AND('Mapa final'!$AH$74="Alta",'Mapa final'!$AJ$74="Leve"),CONCATENATE("R2C",'Mapa final'!$R$74),"")</f>
        <v/>
      </c>
      <c r="M30" s="54" t="str">
        <f>IF(AND('Mapa final'!$AH$75="Alta",'Mapa final'!$AJ$75="Leve"),CONCATENATE("R2C",'Mapa final'!$R$75),"")</f>
        <v/>
      </c>
      <c r="N30" s="54" t="str">
        <f>IF(AND('Mapa final'!$AH$76="Alta",'Mapa final'!$AJ$76="Leve"),CONCATENATE("R2C",'Mapa final'!$R$76),"")</f>
        <v/>
      </c>
      <c r="O30" s="54" t="str">
        <f>IF(AND('Mapa final'!$AH$77="Alta",'Mapa final'!$AJ$77="Leve"),CONCATENATE("R2C",'Mapa final'!$R$77),"")</f>
        <v/>
      </c>
      <c r="P30" s="55" t="str">
        <f>IF(AND('Mapa final'!$AH$78="Alta",'Mapa final'!$AJ$78="Leve"),CONCATENATE("R2C",'Mapa final'!$R$78),"")</f>
        <v/>
      </c>
      <c r="Q30" s="53" t="str">
        <f>IF(AND('Mapa final'!$AH$73="Alta",'Mapa final'!$AJ$73="Menor"),CONCATENATE("R2C",'Mapa final'!$R$73),"")</f>
        <v/>
      </c>
      <c r="R30" s="54" t="str">
        <f>IF(AND('Mapa final'!$AH$74="Alta",'Mapa final'!$AJ$74="Menor"),CONCATENATE("R2C",'Mapa final'!$R$74),"")</f>
        <v/>
      </c>
      <c r="S30" s="54" t="str">
        <f>IF(AND('Mapa final'!$AH$75="Alta",'Mapa final'!$AJ$75="Menor"),CONCATENATE("R2C",'Mapa final'!$R$75),"")</f>
        <v/>
      </c>
      <c r="T30" s="54" t="str">
        <f>IF(AND('Mapa final'!$AH$76="Alta",'Mapa final'!$AJ$76="Menor"),CONCATENATE("R2C",'Mapa final'!$R$76),"")</f>
        <v/>
      </c>
      <c r="U30" s="54" t="str">
        <f>IF(AND('Mapa final'!$AH$77="Alta",'Mapa final'!$AJ$77="Menor"),CONCATENATE("R2C",'Mapa final'!$R$77),"")</f>
        <v/>
      </c>
      <c r="V30" s="55" t="str">
        <f>IF(AND('Mapa final'!$AH$78="Alta",'Mapa final'!$AJ$78="Menor"),CONCATENATE("R2C",'Mapa final'!$R$78),"")</f>
        <v/>
      </c>
      <c r="W30" s="38" t="str">
        <f>IF(AND('Mapa final'!$AH$73="Alta",'Mapa final'!$AJ$73="Moderado"),CONCATENATE("R2C",'Mapa final'!$R$73),"")</f>
        <v/>
      </c>
      <c r="X30" s="39" t="str">
        <f>IF(AND('Mapa final'!$AH$74="Alta",'Mapa final'!$AJ$74="Moderado"),CONCATENATE("R2C",'Mapa final'!$R$74),"")</f>
        <v/>
      </c>
      <c r="Y30" s="39" t="str">
        <f>IF(AND('Mapa final'!$AH$75="Alta",'Mapa final'!$AJ$75="Moderado"),CONCATENATE("R2C",'Mapa final'!$R$75),"")</f>
        <v/>
      </c>
      <c r="Z30" s="39" t="str">
        <f>IF(AND('Mapa final'!$AH$76="Alta",'Mapa final'!$AJ$76="Moderado"),CONCATENATE("R2C",'Mapa final'!$R$76),"")</f>
        <v/>
      </c>
      <c r="AA30" s="39" t="str">
        <f>IF(AND('Mapa final'!$AH$77="Alta",'Mapa final'!$AJ$77="Moderado"),CONCATENATE("R2C",'Mapa final'!$R$77),"")</f>
        <v/>
      </c>
      <c r="AB30" s="40" t="str">
        <f>IF(AND('Mapa final'!$AH$78="Alta",'Mapa final'!$AJ$78="Moderado"),CONCATENATE("R2C",'Mapa final'!$R$78),"")</f>
        <v/>
      </c>
      <c r="AC30" s="38" t="str">
        <f>IF(AND('Mapa final'!$AH$73="Alta",'Mapa final'!$AJ$73="Mayor"),CONCATENATE("R2C",'Mapa final'!$R$73),"")</f>
        <v/>
      </c>
      <c r="AD30" s="39" t="str">
        <f>IF(AND('Mapa final'!$AH$74="Alta",'Mapa final'!$AJ$74="Mayor"),CONCATENATE("R2C",'Mapa final'!$R$74),"")</f>
        <v/>
      </c>
      <c r="AE30" s="39" t="str">
        <f>IF(AND('Mapa final'!$AH$75="Alta",'Mapa final'!$AJ$75="Mayor"),CONCATENATE("R2C",'Mapa final'!$R$75),"")</f>
        <v/>
      </c>
      <c r="AF30" s="39" t="str">
        <f>IF(AND('Mapa final'!$AH$76="Alta",'Mapa final'!$AJ$76="Mayor"),CONCATENATE("R2C",'Mapa final'!$R$76),"")</f>
        <v/>
      </c>
      <c r="AG30" s="39" t="str">
        <f>IF(AND('Mapa final'!$AH$77="Alta",'Mapa final'!$AJ$77="Mayor"),CONCATENATE("R2C",'Mapa final'!$R$77),"")</f>
        <v/>
      </c>
      <c r="AH30" s="40" t="str">
        <f>IF(AND('Mapa final'!$AH$78="Alta",'Mapa final'!$AJ$78="Mayor"),CONCATENATE("R2C",'Mapa final'!$R$78),"")</f>
        <v/>
      </c>
      <c r="AI30" s="41" t="str">
        <f>IF(AND('Mapa final'!$AH$73="Alta",'Mapa final'!$AJ$73="Catastrófico"),CONCATENATE("R2C",'Mapa final'!$R$73),"")</f>
        <v/>
      </c>
      <c r="AJ30" s="42" t="str">
        <f>IF(AND('Mapa final'!$AH$74="Alta",'Mapa final'!$AJ$74="Catastrófico"),CONCATENATE("R2C",'Mapa final'!$R$74),"")</f>
        <v/>
      </c>
      <c r="AK30" s="42" t="str">
        <f>IF(AND('Mapa final'!$AH$75="Alta",'Mapa final'!$AJ$75="Catastrófico"),CONCATENATE("R2C",'Mapa final'!$R$75),"")</f>
        <v/>
      </c>
      <c r="AL30" s="42" t="str">
        <f>IF(AND('Mapa final'!$AH$76="Alta",'Mapa final'!$AJ$76="Catastrófico"),CONCATENATE("R2C",'Mapa final'!$R$76),"")</f>
        <v/>
      </c>
      <c r="AM30" s="42" t="str">
        <f>IF(AND('Mapa final'!$AH$77="Alta",'Mapa final'!$AJ$77="Catastrófico"),CONCATENATE("R2C",'Mapa final'!$R$77),"")</f>
        <v/>
      </c>
      <c r="AN30" s="43" t="str">
        <f>IF(AND('Mapa final'!$AH$78="Alta",'Mapa final'!$AJ$78="Catastrófico"),CONCATENATE("R2C",'Mapa final'!$R$78),"")</f>
        <v/>
      </c>
      <c r="AO30" s="68"/>
      <c r="AP30" s="596"/>
      <c r="AQ30" s="597"/>
      <c r="AR30" s="597"/>
      <c r="AS30" s="597"/>
      <c r="AT30" s="597"/>
      <c r="AU30" s="59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c r="B31" s="68"/>
      <c r="C31" s="497"/>
      <c r="D31" s="497"/>
      <c r="E31" s="498"/>
      <c r="F31" s="590"/>
      <c r="G31" s="591"/>
      <c r="H31" s="591"/>
      <c r="I31" s="591"/>
      <c r="J31" s="591"/>
      <c r="K31" s="56" t="str">
        <f>IF(AND('Mapa final'!$AH$79="Alta",'Mapa final'!$AJ$79="Leve"),CONCATENATE("R2C",'Mapa final'!$R$79),"")</f>
        <v/>
      </c>
      <c r="L31" s="57" t="str">
        <f>IF(AND('Mapa final'!$AH$80="Alta",'Mapa final'!$AJ$80="Leve"),CONCATENATE("R2C",'Mapa final'!$R$80),"")</f>
        <v/>
      </c>
      <c r="M31" s="57" t="str">
        <f>IF(AND('Mapa final'!$AH$81="Alta",'Mapa final'!$AJ$81="Leve"),CONCATENATE("R2C",'Mapa final'!$R$81),"")</f>
        <v/>
      </c>
      <c r="N31" s="57" t="str">
        <f>IF(AND('Mapa final'!$AH$82="Alta",'Mapa final'!$AJ$82="Leve"),CONCATENATE("R2C",'Mapa final'!$R$82),"")</f>
        <v/>
      </c>
      <c r="O31" s="57" t="str">
        <f>IF(AND('Mapa final'!$AH$84="Alta",'Mapa final'!$AJ$84="Leve"),CONCATENATE("R2C",'Mapa final'!$R$84),"")</f>
        <v/>
      </c>
      <c r="P31" s="58" t="str">
        <f>IF(AND('Mapa final'!$AH$85="Alta",'Mapa final'!$AJ$85="Leve"),CONCATENATE("R2C",'Mapa final'!$R$85),"")</f>
        <v/>
      </c>
      <c r="Q31" s="56" t="str">
        <f>IF(AND('Mapa final'!$AH$79="Alta",'Mapa final'!$AJ$79="Menor"),CONCATENATE("R2C",'Mapa final'!$R$79),"")</f>
        <v/>
      </c>
      <c r="R31" s="57" t="str">
        <f>IF(AND('Mapa final'!$AH$80="Alta",'Mapa final'!$AJ$80="Menor"),CONCATENATE("R2C",'Mapa final'!$R$80),"")</f>
        <v/>
      </c>
      <c r="S31" s="57" t="str">
        <f>IF(AND('Mapa final'!$AH$81="Alta",'Mapa final'!$AJ$81="Menor"),CONCATENATE("R2C",'Mapa final'!$R$81),"")</f>
        <v/>
      </c>
      <c r="T31" s="57" t="str">
        <f>IF(AND('Mapa final'!$AH$82="Alta",'Mapa final'!$AJ$82="Menor"),CONCATENATE("R2C",'Mapa final'!$R$82),"")</f>
        <v/>
      </c>
      <c r="U31" s="57" t="str">
        <f>IF(AND('Mapa final'!$AH$84="Alta",'Mapa final'!$AJ$84="Menor"),CONCATENATE("R2C",'Mapa final'!$R$84),"")</f>
        <v/>
      </c>
      <c r="V31" s="58" t="str">
        <f>IF(AND('Mapa final'!$AH$85="Alta",'Mapa final'!$AJ$85="Menor"),CONCATENATE("R2C",'Mapa final'!$R$85),"")</f>
        <v/>
      </c>
      <c r="W31" s="44" t="str">
        <f>IF(AND('Mapa final'!$AH$79="Alta",'Mapa final'!$AJ$79="Moderado"),CONCATENATE("R2C",'Mapa final'!$R$79),"")</f>
        <v/>
      </c>
      <c r="X31" s="45" t="str">
        <f>IF(AND('Mapa final'!$AH$80="Alta",'Mapa final'!$AJ$80="Moderado"),CONCATENATE("R2C",'Mapa final'!$R$80),"")</f>
        <v/>
      </c>
      <c r="Y31" s="45" t="str">
        <f>IF(AND('Mapa final'!$AH$81="Alta",'Mapa final'!$AJ$81="Moderado"),CONCATENATE("R2C",'Mapa final'!$R$81),"")</f>
        <v/>
      </c>
      <c r="Z31" s="45" t="str">
        <f>IF(AND('Mapa final'!$AH$82="Alta",'Mapa final'!$AJ$82="Moderado"),CONCATENATE("R2C",'Mapa final'!$R$82),"")</f>
        <v/>
      </c>
      <c r="AA31" s="45" t="str">
        <f>IF(AND('Mapa final'!$AH$84="Alta",'Mapa final'!$AJ$84="Moderado"),CONCATENATE("R2C",'Mapa final'!$R$84),"")</f>
        <v/>
      </c>
      <c r="AB31" s="46" t="str">
        <f>IF(AND('Mapa final'!$AH$85="Alta",'Mapa final'!$AJ$85="Moderado"),CONCATENATE("R2C",'Mapa final'!$R$85),"")</f>
        <v/>
      </c>
      <c r="AC31" s="44" t="str">
        <f>IF(AND('Mapa final'!$AH$79="Alta",'Mapa final'!$AJ$79="Mayor"),CONCATENATE("R2C",'Mapa final'!$R$79),"")</f>
        <v/>
      </c>
      <c r="AD31" s="45" t="str">
        <f>IF(AND('Mapa final'!$AH$80="Alta",'Mapa final'!$AJ$80="Mayor"),CONCATENATE("R2C",'Mapa final'!$R$80),"")</f>
        <v/>
      </c>
      <c r="AE31" s="45" t="str">
        <f>IF(AND('Mapa final'!$AH$81="Alta",'Mapa final'!$AJ$81="Mayor"),CONCATENATE("R2C",'Mapa final'!$R$81),"")</f>
        <v/>
      </c>
      <c r="AF31" s="45" t="str">
        <f>IF(AND('Mapa final'!$AH$82="Alta",'Mapa final'!$AJ$82="Mayor"),CONCATENATE("R2C",'Mapa final'!$R$82),"")</f>
        <v/>
      </c>
      <c r="AG31" s="45" t="str">
        <f>IF(AND('Mapa final'!$AH$84="Alta",'Mapa final'!$AJ$84="Mayor"),CONCATENATE("R2C",'Mapa final'!$R$84),"")</f>
        <v/>
      </c>
      <c r="AH31" s="46" t="str">
        <f>IF(AND('Mapa final'!$AH$85="Alta",'Mapa final'!$AJ$85="Mayor"),CONCATENATE("R2C",'Mapa final'!$R$85),"")</f>
        <v/>
      </c>
      <c r="AI31" s="47" t="str">
        <f>IF(AND('Mapa final'!$AH$79="Alta",'Mapa final'!$AJ$79="Catastrófico"),CONCATENATE("R2C",'Mapa final'!$R$79),"")</f>
        <v/>
      </c>
      <c r="AJ31" s="48" t="str">
        <f>IF(AND('Mapa final'!$AH$80="Alta",'Mapa final'!$AJ$80="Catastrófico"),CONCATENATE("R2C",'Mapa final'!$R$80),"")</f>
        <v/>
      </c>
      <c r="AK31" s="48" t="str">
        <f>IF(AND('Mapa final'!$AH$81="Alta",'Mapa final'!$AJ$81="Catastrófico"),CONCATENATE("R2C",'Mapa final'!$R$81),"")</f>
        <v/>
      </c>
      <c r="AL31" s="48" t="str">
        <f>IF(AND('Mapa final'!$AH$82="Alta",'Mapa final'!$AJ$82="Catastrófico"),CONCATENATE("R2C",'Mapa final'!$R$82),"")</f>
        <v/>
      </c>
      <c r="AM31" s="48" t="str">
        <f>IF(AND('Mapa final'!$AH$84="Alta",'Mapa final'!$AJ$84="Catastrófico"),CONCATENATE("R2C",'Mapa final'!$R$84),"")</f>
        <v/>
      </c>
      <c r="AN31" s="49" t="str">
        <f>IF(AND('Mapa final'!$AH$85="Muy Alta",'Mapa final'!$AJ$85="Catastrófico"),CONCATENATE("R2C",'Mapa final'!$R$85),"")</f>
        <v/>
      </c>
      <c r="AO31" s="68"/>
      <c r="AP31" s="599"/>
      <c r="AQ31" s="600"/>
      <c r="AR31" s="600"/>
      <c r="AS31" s="600"/>
      <c r="AT31" s="600"/>
      <c r="AU31" s="601"/>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c r="B32" s="68"/>
      <c r="C32" s="497"/>
      <c r="D32" s="497"/>
      <c r="E32" s="498"/>
      <c r="F32" s="584" t="s">
        <v>372</v>
      </c>
      <c r="G32" s="585"/>
      <c r="H32" s="585"/>
      <c r="I32" s="585"/>
      <c r="J32" s="586"/>
      <c r="K32" s="50"/>
      <c r="L32" s="51" t="str">
        <f>IF(AND('Mapa final'!$AH$16="Media",'Mapa final'!$AJ$16="Leve"),CONCATENATE("R2C",'Mapa final'!$R$15),"")</f>
        <v/>
      </c>
      <c r="M32" s="51" t="str">
        <f>IF(AND('Mapa final'!$AH$17="Media",'Mapa final'!$AJ$17="Leve"),CONCATENATE("R2C",'Mapa final'!$R$17),"")</f>
        <v/>
      </c>
      <c r="N32" s="51" t="str">
        <f>IF(AND('Mapa final'!$AH$20="Media",'Mapa final'!$AJ$20="Leve"),CONCATENATE("R2C",'Mapa final'!$R$20),"")</f>
        <v/>
      </c>
      <c r="O32" s="51" t="str">
        <f>IF(AND('Mapa final'!$AH$21="Media",'Mapa final'!$AJ$21="Leve"),CONCATENATE("R2C",'Mapa final'!$R$21),"")</f>
        <v/>
      </c>
      <c r="P32" s="52" t="str">
        <f>IF(AND('Mapa final'!$AH$22="Media",'Mapa final'!$AJ$22="Leve"),CONCATENATE("R2C",'Mapa final'!$R$22),"")</f>
        <v/>
      </c>
      <c r="Q32" s="50"/>
      <c r="R32" s="51" t="str">
        <f>IF(AND('Mapa final'!$AH$16="Media",'Mapa final'!$AJ$16="Menore"),CONCATENATE("R2C",'Mapa final'!$R$15),"")</f>
        <v/>
      </c>
      <c r="S32" s="51" t="str">
        <f>IF(AND('Mapa final'!$AH$17="Media",'Mapa final'!$AJ$17="Menor"),CONCATENATE("R2C",'Mapa final'!$R$17),"")</f>
        <v/>
      </c>
      <c r="T32" s="51" t="str">
        <f>IF(AND('Mapa final'!$AH$20="Media",'Mapa final'!$AJ$20="Menor"),CONCATENATE("R2C",'Mapa final'!$R$20),"")</f>
        <v/>
      </c>
      <c r="U32" s="51" t="str">
        <f>IF(AND('Mapa final'!$AH$21="Media",'Mapa final'!$AJ$21="Menor"),CONCATENATE("R2C",'Mapa final'!$R$21),"")</f>
        <v/>
      </c>
      <c r="V32" s="52" t="str">
        <f>IF(AND('Mapa final'!$AH$22="Media",'Mapa final'!$AJ$22="Menor"),CONCATENATE("R2C",'Mapa final'!$R$22),"")</f>
        <v/>
      </c>
      <c r="W32" s="50"/>
      <c r="X32" s="51" t="str">
        <f>IF(AND('Mapa final'!$AH$16="Media",'Mapa final'!$AJ$16="Moderado"),CONCATENATE("R2C",'Mapa final'!$R$15),"")</f>
        <v/>
      </c>
      <c r="Y32" s="51"/>
      <c r="Z32" s="51" t="str">
        <f>IF(AND('Mapa final'!$AH$20="Media",'Mapa final'!$AJ$20="Moderado"),CONCATENATE("R2C",'Mapa final'!$R$20),"")</f>
        <v/>
      </c>
      <c r="AA32" s="51" t="str">
        <f>IF(AND('Mapa final'!$AH$21="Media",'Mapa final'!$AJ$21="Moderado"),CONCATENATE("R2C",'Mapa final'!$R$21),"")</f>
        <v/>
      </c>
      <c r="AB32" s="52" t="str">
        <f>IF(AND('Mapa final'!$AH$22="Media",'Mapa final'!$AJ$22="Moderado"),CONCATENATE("R2C",'Mapa final'!$R$22),"")</f>
        <v/>
      </c>
      <c r="AC32" s="32"/>
      <c r="AD32" s="33" t="str">
        <f>IF(AND('Mapa final'!$AH$16="Media",'Mapa final'!$AJ$16="Mayor"),CONCATENATE("R2C",'Mapa final'!$R$15),"")</f>
        <v/>
      </c>
      <c r="AE32" s="33" t="str">
        <f>IF(AND('Mapa final'!$AH$17="Media",'Mapa final'!$AJ$17="Mayor"),CONCATENATE("R2C",'Mapa final'!$R$17),"")</f>
        <v/>
      </c>
      <c r="AF32" s="33" t="str">
        <f>IF(AND('Mapa final'!$AH$20="Media",'Mapa final'!$AJ$20="Mayor"),CONCATENATE("R2C",'Mapa final'!$R$20),"")</f>
        <v/>
      </c>
      <c r="AG32" s="33" t="str">
        <f>IF(AND('Mapa final'!$AH$21="Media",'Mapa final'!$AJ$21="Mayor"),CONCATENATE("R2C",'Mapa final'!$R$21),"")</f>
        <v/>
      </c>
      <c r="AH32" s="34" t="str">
        <f>IF(AND('Mapa final'!$AH$22="Media",'Mapa final'!$AJ$22="Mayor"),CONCATENATE("R2C",'Mapa final'!$R$22),"")</f>
        <v/>
      </c>
      <c r="AI32" s="35"/>
      <c r="AJ32" s="36" t="str">
        <f>IF(AND('Mapa final'!$AH$16="Media",'Mapa final'!$AJ$16="Catastrófico"),CONCATENATE("R2C",'Mapa final'!$R$15),"")</f>
        <v/>
      </c>
      <c r="AK32" s="36" t="str">
        <f>IF(AND('Mapa final'!$AH$17="Media",'Mapa final'!$AJ$17="Catastrófico"),CONCATENATE("R2C",'Mapa final'!$R$17),"")</f>
        <v/>
      </c>
      <c r="AL32" s="36" t="str">
        <f>IF(AND('Mapa final'!$AH$20="Media",'Mapa final'!$AJ$20="Catastrófico"),CONCATENATE("R2C",'Mapa final'!$R$20),"")</f>
        <v/>
      </c>
      <c r="AM32" s="36" t="str">
        <f>IF(AND('Mapa final'!$AH$21="Media",'Mapa final'!$AJ$21="Catastrófico"),CONCATENATE("R2C",'Mapa final'!$R$21),"")</f>
        <v/>
      </c>
      <c r="AN32" s="37" t="str">
        <f>IF(AND('Mapa final'!$AH$22="Media",'Mapa final'!$AJ$22="Catastrófico"),CONCATENATE("R2C",'Mapa final'!$R$22),"")</f>
        <v/>
      </c>
      <c r="AO32" s="68"/>
      <c r="AP32" s="624" t="s">
        <v>202</v>
      </c>
      <c r="AQ32" s="625"/>
      <c r="AR32" s="625"/>
      <c r="AS32" s="625"/>
      <c r="AT32" s="625"/>
      <c r="AU32" s="626"/>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c r="B33" s="68"/>
      <c r="C33" s="497"/>
      <c r="D33" s="497"/>
      <c r="E33" s="498"/>
      <c r="F33" s="602"/>
      <c r="G33" s="588"/>
      <c r="H33" s="588"/>
      <c r="I33" s="588"/>
      <c r="J33" s="589"/>
      <c r="K33" s="53" t="str">
        <f>IF(AND('Mapa final'!$AH$23="Media",'Mapa final'!$AJ$23="Leve"),CONCATENATE("R2C",'Mapa final'!$R$23),"")</f>
        <v/>
      </c>
      <c r="L33" s="54" t="str">
        <f>IF(AND('Mapa final'!$AH$24="Media",'Mapa final'!$AJ$24="Leve"),CONCATENATE("R2C",'Mapa final'!$R$24),"")</f>
        <v/>
      </c>
      <c r="M33" s="54" t="str">
        <f>IF(AND('Mapa final'!$AH$33="Media",'Mapa final'!$AJ$33="Leve"),CONCATENATE("R2C",'Mapa final'!$R$33),"")</f>
        <v/>
      </c>
      <c r="N33" s="54" t="str">
        <f>IF(AND('Mapa final'!$AH$34="Media",'Mapa final'!$AJ$34="Leve"),CONCATENATE("R2C",'Mapa final'!$R$34),"")</f>
        <v/>
      </c>
      <c r="O33" s="54" t="str">
        <f>IF(AND('Mapa final'!$AH$35="Media",'Mapa final'!$AJ$35="Leve"),CONCATENATE("R2C",'Mapa final'!$R$35),"")</f>
        <v/>
      </c>
      <c r="P33" s="55" t="str">
        <f>IF(AND('Mapa final'!$AH$36="Media",'Mapa final'!$AJ$36="Leve"),CONCATENATE("R2C",'Mapa final'!$R$36),"")</f>
        <v/>
      </c>
      <c r="Q33" s="53" t="str">
        <f>IF(AND('Mapa final'!$AH$23="Media",'Mapa final'!$AJ$23="Menor"),CONCATENATE("R2C",'Mapa final'!$R$23),"")</f>
        <v/>
      </c>
      <c r="R33" s="54" t="str">
        <f>IF(AND('Mapa final'!$AH$24="Media",'Mapa final'!$AJ$24="Menor"),CONCATENATE("R2C",'Mapa final'!$R$24),"")</f>
        <v/>
      </c>
      <c r="S33" s="54" t="str">
        <f>IF(AND('Mapa final'!$AH$33="Media",'Mapa final'!$AJ$33="Menor"),CONCATENATE("R2C",'Mapa final'!$R$33),"")</f>
        <v/>
      </c>
      <c r="T33" s="54" t="str">
        <f>IF(AND('Mapa final'!$AH$34="Media",'Mapa final'!$AJ$34="Menor"),CONCATENATE("R2C",'Mapa final'!$R$34),"")</f>
        <v/>
      </c>
      <c r="U33" s="54" t="str">
        <f>IF(AND('Mapa final'!$AH$35="Media",'Mapa final'!$AJ$35="Menor"),CONCATENATE("R2C",'Mapa final'!$R$35),"")</f>
        <v/>
      </c>
      <c r="V33" s="55" t="str">
        <f>IF(AND('Mapa final'!$AH$36="Media",'Mapa final'!$AJ$36="Menor"),CONCATENATE("R2C",'Mapa final'!$R$36),"")</f>
        <v/>
      </c>
      <c r="W33" s="53" t="str">
        <f>IF(AND('Mapa final'!$AH$23="Media",'Mapa final'!$AJ$23="Moderado"),CONCATENATE("R2C",'Mapa final'!$R$23),"")</f>
        <v/>
      </c>
      <c r="X33" s="54" t="str">
        <f>IF(AND('Mapa final'!$AH$24="Media",'Mapa final'!$AJ$24="Moderado"),CONCATENATE("R2C",'Mapa final'!$R$24),"")</f>
        <v/>
      </c>
      <c r="Y33" s="54" t="str">
        <f>IF(AND('Mapa final'!$AH$33="Media",'Mapa final'!$AJ$33="Moderado"),CONCATENATE("R2C",'Mapa final'!$R$33),"")</f>
        <v/>
      </c>
      <c r="Z33" s="54" t="str">
        <f>IF(AND('Mapa final'!$AH$34="Media",'Mapa final'!$AJ$34="Moderado"),CONCATENATE("R2C",'Mapa final'!$R$34),"")</f>
        <v/>
      </c>
      <c r="AA33" s="54" t="str">
        <f>IF(AND('Mapa final'!$AH$35="Media",'Mapa final'!$AJ$35="Moderado"),CONCATENATE("R2C",'Mapa final'!$R$35),"")</f>
        <v/>
      </c>
      <c r="AB33" s="55" t="str">
        <f>IF(AND('Mapa final'!$AH$36="Media",'Mapa final'!$AJ$36="Moderado"),CONCATENATE("R2C",'Mapa final'!$R$36),"")</f>
        <v/>
      </c>
      <c r="AC33" s="38" t="str">
        <f>IF(AND('Mapa final'!$AH$23="Media",'Mapa final'!$AJ$23="Mayor"),CONCATENATE("R2C",'Mapa final'!$R$23),"")</f>
        <v/>
      </c>
      <c r="AD33" s="39" t="str">
        <f>IF(AND('Mapa final'!$AH$24="Muy Alta",'Mapa final'!$AJ$24="Mayor"),CONCATENATE("R2C",'Mapa final'!$R$24),"")</f>
        <v/>
      </c>
      <c r="AE33" s="39" t="str">
        <f>IF(AND('Mapa final'!$AH$33="Media",'Mapa final'!$AJ$33="Mayor"),CONCATENATE("R2C",'Mapa final'!$R$33),"")</f>
        <v/>
      </c>
      <c r="AF33" s="39" t="str">
        <f>IF(AND('Mapa final'!$AH$34="Media",'Mapa final'!$AJ$34="Mayor"),CONCATENATE("R2C",'Mapa final'!$R$34),"")</f>
        <v/>
      </c>
      <c r="AG33" s="39" t="str">
        <f>IF(AND('Mapa final'!$AH$35="Media",'Mapa final'!$AJ$35="Mayor"),CONCATENATE("R2C",'Mapa final'!$R$35),"")</f>
        <v/>
      </c>
      <c r="AH33" s="40" t="str">
        <f>IF(AND('Mapa final'!$AH$36="Media",'Mapa final'!$AJ$36="Mayor"),CONCATENATE("R2C",'Mapa final'!$R$36),"")</f>
        <v/>
      </c>
      <c r="AI33" s="41" t="str">
        <f>IF(AND('Mapa final'!$AH$23="Media",'Mapa final'!$AJ$23="Catastrófico"),CONCATENATE("R2C",'Mapa final'!$R$23),"")</f>
        <v/>
      </c>
      <c r="AJ33" s="42" t="str">
        <f>IF(AND('Mapa final'!$AH$24="Media",'Mapa final'!$AJ$24="Catastrófico"),CONCATENATE("R2C",'Mapa final'!$R$24),"")</f>
        <v/>
      </c>
      <c r="AK33" s="42" t="str">
        <f>IF(AND('Mapa final'!$AH$33="Media",'Mapa final'!$AJ$33="Catastrófico"),CONCATENATE("R2C",'Mapa final'!$R$33),"")</f>
        <v/>
      </c>
      <c r="AL33" s="42" t="str">
        <f>IF(AND('Mapa final'!$AH$34="Media",'Mapa final'!$AJ$34="Catastrófico"),CONCATENATE("R2C",'Mapa final'!$R$34),"")</f>
        <v/>
      </c>
      <c r="AM33" s="42" t="str">
        <f>IF(AND('Mapa final'!$AH$35="Media",'Mapa final'!$AJ$35="Catastrófico"),CONCATENATE("R2C",'Mapa final'!$R$35),"")</f>
        <v/>
      </c>
      <c r="AN33" s="43" t="str">
        <f>IF(AND('Mapa final'!$AH$36="Media",'Mapa final'!$AJ$36="Catastrófico"),CONCATENATE("R2C",'Mapa final'!$R$36),"")</f>
        <v/>
      </c>
      <c r="AO33" s="68"/>
      <c r="AP33" s="627"/>
      <c r="AQ33" s="628"/>
      <c r="AR33" s="628"/>
      <c r="AS33" s="628"/>
      <c r="AT33" s="628"/>
      <c r="AU33" s="629"/>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c r="B34" s="68"/>
      <c r="C34" s="497"/>
      <c r="D34" s="497"/>
      <c r="E34" s="498"/>
      <c r="F34" s="587"/>
      <c r="G34" s="588"/>
      <c r="H34" s="588"/>
      <c r="I34" s="588"/>
      <c r="J34" s="589"/>
      <c r="K34" s="53" t="str">
        <f>IF(AND('Mapa final'!$AH$37="Media",'Mapa final'!$AJ$37="Leve"),CONCATENATE("R2C",'Mapa final'!$R$37),"")</f>
        <v/>
      </c>
      <c r="L34" s="54" t="str">
        <f>IF(AND('Mapa final'!$AH$38="Media",'Mapa final'!$AJ$38="Leve"),CONCATENATE("R2C",'Mapa final'!$R$38),"")</f>
        <v/>
      </c>
      <c r="M34" s="54" t="str">
        <f>IF(AND('Mapa final'!$AH$39="Media",'Mapa final'!$AJ$39="Leve"),CONCATENATE("R2C",'Mapa final'!$R$39),"")</f>
        <v/>
      </c>
      <c r="N34" s="54" t="str">
        <f>IF(AND('Mapa final'!$AH$40="Media",'Mapa final'!$AJ$40="Leve"),CONCATENATE("R2C",'Mapa final'!$R$40),"")</f>
        <v/>
      </c>
      <c r="O34" s="54" t="str">
        <f>IF(AND('Mapa final'!$AH$41="Media",'Mapa final'!$AJ$41="Leve"),CONCATENATE("R2C",'Mapa final'!$R$41),"")</f>
        <v/>
      </c>
      <c r="P34" s="55" t="str">
        <f>IF(AND('Mapa final'!$AH$42="Media",'Mapa final'!$AJ$42="Leve"),CONCATENATE("R2C",'Mapa final'!$R$42),"")</f>
        <v/>
      </c>
      <c r="Q34" s="53" t="str">
        <f>IF(AND('Mapa final'!$AH$37="Media",'Mapa final'!$AJ$37="Menor"),CONCATENATE("R2C",'Mapa final'!$R$37),"")</f>
        <v/>
      </c>
      <c r="R34" s="54" t="str">
        <f>IF(AND('Mapa final'!$AH$38="Media",'Mapa final'!$AJ$38="Menor"),CONCATENATE("R2C",'Mapa final'!$R$38),"")</f>
        <v/>
      </c>
      <c r="S34" s="54" t="str">
        <f>IF(AND('Mapa final'!$AH$39="Media",'Mapa final'!$AJ$39="Menor"),CONCATENATE("R2C",'Mapa final'!$R$39),"")</f>
        <v/>
      </c>
      <c r="T34" s="54" t="str">
        <f>IF(AND('Mapa final'!$AH$40="Media",'Mapa final'!$AJ$40="Menor"),CONCATENATE("R2C",'Mapa final'!$R$40),"")</f>
        <v/>
      </c>
      <c r="U34" s="54" t="str">
        <f>IF(AND('Mapa final'!$AH$41="Media",'Mapa final'!$AJ$41="Menor"),CONCATENATE("R2C",'Mapa final'!$R$41),"")</f>
        <v/>
      </c>
      <c r="V34" s="55" t="str">
        <f>IF(AND('Mapa final'!$AH$42="Media",'Mapa final'!$AJ$42="Menor"),CONCATENATE("R2C",'Mapa final'!$R$42),"")</f>
        <v/>
      </c>
      <c r="W34" s="53" t="str">
        <f>IF(AND('Mapa final'!$AH$37="Media",'Mapa final'!$AJ$37="Moderado"),CONCATENATE("R2C",'Mapa final'!$R$37),"")</f>
        <v/>
      </c>
      <c r="X34" s="54" t="str">
        <f>IF(AND('Mapa final'!$AH$38="Media",'Mapa final'!$AJ$38="Moderado"),CONCATENATE("R2C",'Mapa final'!$R$38),"")</f>
        <v/>
      </c>
      <c r="Y34" s="54" t="str">
        <f>IF(AND('Mapa final'!$AH$39="Media",'Mapa final'!$AJ$39="Moderado"),CONCATENATE("R2C",'Mapa final'!$R$39),"")</f>
        <v/>
      </c>
      <c r="Z34" s="54" t="str">
        <f>IF(AND('Mapa final'!$AH$40="Media",'Mapa final'!$AJ$40="Moderado"),CONCATENATE("R2C",'Mapa final'!$R$40),"")</f>
        <v/>
      </c>
      <c r="AA34" s="54" t="str">
        <f>IF(AND('Mapa final'!$AH$41="Media",'Mapa final'!$AJ$41="Moderado"),CONCATENATE("R2C",'Mapa final'!$R$41),"")</f>
        <v/>
      </c>
      <c r="AB34" s="55" t="str">
        <f>IF(AND('Mapa final'!$AH$42="Media",'Mapa final'!$AJ$42="Moderado"),CONCATENATE("R2C",'Mapa final'!$R$42),"")</f>
        <v/>
      </c>
      <c r="AC34" s="38" t="str">
        <f>IF(AND('Mapa final'!$AH$37="Media",'Mapa final'!$AJ$37="Mayor"),CONCATENATE("R2C",'Mapa final'!$R$37),"")</f>
        <v/>
      </c>
      <c r="AD34" s="39" t="str">
        <f>IF(AND('Mapa final'!$AH$38="Media",'Mapa final'!$AJ$38="Mayor"),CONCATENATE("R2C",'Mapa final'!$R$38),"")</f>
        <v/>
      </c>
      <c r="AE34" s="39" t="str">
        <f>IF(AND('Mapa final'!$AH$39="Media",'Mapa final'!$AJ$39="Mayor"),CONCATENATE("R2C",'Mapa final'!$R$39),"")</f>
        <v/>
      </c>
      <c r="AF34" s="39" t="str">
        <f>IF(AND('Mapa final'!$AH$40="Media",'Mapa final'!$AJ$40="Mayor"),CONCATENATE("R2C",'Mapa final'!$R$40),"")</f>
        <v/>
      </c>
      <c r="AG34" s="39" t="str">
        <f>IF(AND('Mapa final'!$AH$41="Media",'Mapa final'!$AJ$41="Mayor"),CONCATENATE("R2C",'Mapa final'!$R$41),"")</f>
        <v/>
      </c>
      <c r="AH34" s="40" t="str">
        <f>IF(AND('Mapa final'!$AH$42="Media",'Mapa final'!$AJ$42="Mayor"),CONCATENATE("R2C",'Mapa final'!$R$42),"")</f>
        <v/>
      </c>
      <c r="AI34" s="41" t="str">
        <f>IF(AND('Mapa final'!$AH$37="Media",'Mapa final'!$AJ$37="Catastrófico"),CONCATENATE("R2C",'Mapa final'!$R$37),"")</f>
        <v/>
      </c>
      <c r="AJ34" s="42" t="str">
        <f>IF(AND('Mapa final'!$AH$38="Media",'Mapa final'!$AJ$38="Catastrófico"),CONCATENATE("R2C",'Mapa final'!$R$38),"")</f>
        <v/>
      </c>
      <c r="AK34" s="42" t="str">
        <f>IF(AND('Mapa final'!$AH$39="Media",'Mapa final'!$AJ$39="Catastrófico"),CONCATENATE("R2C",'Mapa final'!$R$39),"")</f>
        <v/>
      </c>
      <c r="AL34" s="42" t="str">
        <f>IF(AND('Mapa final'!$AH$40="Media",'Mapa final'!$AJ$40="Catastrófico"),CONCATENATE("R2C",'Mapa final'!$R$40),"")</f>
        <v/>
      </c>
      <c r="AM34" s="42" t="str">
        <f>IF(AND('Mapa final'!$AH$41="Media",'Mapa final'!$AJ$41="Catastrófico"),CONCATENATE("R2C",'Mapa final'!$R$41),"")</f>
        <v/>
      </c>
      <c r="AN34" s="43" t="str">
        <f>IF(AND('Mapa final'!$AH$42="Media",'Mapa final'!$AJ$42="Catastrófico"),CONCATENATE("R2C",'Mapa final'!$R$42),"")</f>
        <v/>
      </c>
      <c r="AO34" s="68"/>
      <c r="AP34" s="627"/>
      <c r="AQ34" s="628"/>
      <c r="AR34" s="628"/>
      <c r="AS34" s="628"/>
      <c r="AT34" s="628"/>
      <c r="AU34" s="629"/>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c r="B35" s="68"/>
      <c r="C35" s="497"/>
      <c r="D35" s="497"/>
      <c r="E35" s="498"/>
      <c r="F35" s="587"/>
      <c r="G35" s="588"/>
      <c r="H35" s="588"/>
      <c r="I35" s="588"/>
      <c r="J35" s="589"/>
      <c r="K35" s="53" t="str">
        <f>IF(AND('Mapa final'!$AH$43="Media",'Mapa final'!$AJ$43="Leve"),CONCATENATE("R2C",'Mapa final'!$R$43),"")</f>
        <v/>
      </c>
      <c r="L35" s="54" t="str">
        <f>IF(AND('Mapa final'!$AH$44="Media",'Mapa final'!$AJ$44="Leve"),CONCATENATE("R2C",'Mapa final'!$R$44),"")</f>
        <v/>
      </c>
      <c r="M35" s="54" t="str">
        <f>IF(AND('Mapa final'!$AH$45="Media",'Mapa final'!$AJ$45="Leve"),CONCATENATE("R2C",'Mapa final'!$R$45),"")</f>
        <v/>
      </c>
      <c r="N35" s="54" t="str">
        <f>IF(AND('Mapa final'!$AH$46="Media",'Mapa final'!$AJ$46="Leve"),CONCATENATE("R2C",'Mapa final'!$R$46),"")</f>
        <v/>
      </c>
      <c r="O35" s="54" t="str">
        <f>IF(AND('Mapa final'!$AH$47="Media",'Mapa final'!$AJ$47="Leve"),CONCATENATE("R2C",'Mapa final'!$R$47),"")</f>
        <v/>
      </c>
      <c r="P35" s="55" t="str">
        <f>IF(AND('Mapa final'!$AH$48="Media",'Mapa final'!$AJ$48="Leve"),CONCATENATE("R2C",'Mapa final'!$R$48),"")</f>
        <v/>
      </c>
      <c r="Q35" s="53" t="str">
        <f>IF(AND('Mapa final'!$AH$43="Media",'Mapa final'!$AJ$43="Menor"),CONCATENATE("R2C",'Mapa final'!$R$43),"")</f>
        <v/>
      </c>
      <c r="R35" s="54" t="str">
        <f>IF(AND('Mapa final'!$AH$44="Media",'Mapa final'!$AJ$44="Menor"),CONCATENATE("R2C",'Mapa final'!$R$44),"")</f>
        <v/>
      </c>
      <c r="S35" s="54" t="str">
        <f>IF(AND('Mapa final'!$AH$45="Media",'Mapa final'!$AJ$45="Menor"),CONCATENATE("R2C",'Mapa final'!$R$45),"")</f>
        <v/>
      </c>
      <c r="T35" s="54" t="str">
        <f>IF(AND('Mapa final'!$AH$46="Media",'Mapa final'!$AJ$46="Menor"),CONCATENATE("R2C",'Mapa final'!$R$46),"")</f>
        <v/>
      </c>
      <c r="U35" s="54" t="str">
        <f>IF(AND('Mapa final'!$AH$47="Media",'Mapa final'!$AJ$47="LMenor"),CONCATENATE("R2C",'Mapa final'!$R$47),"")</f>
        <v/>
      </c>
      <c r="V35" s="55" t="str">
        <f>IF(AND('Mapa final'!$AH$48="Media",'Mapa final'!$AJ$48="Menor"),CONCATENATE("R2C",'Mapa final'!$R$48),"")</f>
        <v/>
      </c>
      <c r="W35" s="53" t="str">
        <f>IF(AND('Mapa final'!$AH$43="Media",'Mapa final'!$AJ$43="Moderado"),CONCATENATE("R2C",'Mapa final'!$R$43),"")</f>
        <v/>
      </c>
      <c r="X35" s="54" t="str">
        <f>IF(AND('Mapa final'!$AH$44="Media",'Mapa final'!$AJ$44="Moderado"),CONCATENATE("R2C",'Mapa final'!$R$44),"")</f>
        <v/>
      </c>
      <c r="Y35" s="54" t="str">
        <f>IF(AND('Mapa final'!$AH$45="Media",'Mapa final'!$AJ$45="Moderado"),CONCATENATE("R2C",'Mapa final'!$R$45),"")</f>
        <v/>
      </c>
      <c r="Z35" s="54" t="str">
        <f>IF(AND('Mapa final'!$AH$46="Media",'Mapa final'!$AJ$46="Moderado"),CONCATENATE("R2C",'Mapa final'!$R$46),"")</f>
        <v/>
      </c>
      <c r="AA35" s="54" t="str">
        <f>IF(AND('Mapa final'!$AH$47="Media",'Mapa final'!$AJ$47="Moderado"),CONCATENATE("R2C",'Mapa final'!$R$47),"")</f>
        <v/>
      </c>
      <c r="AB35" s="55" t="str">
        <f>IF(AND('Mapa final'!$AH$48="Media",'Mapa final'!$AJ$48="Moderado"),CONCATENATE("R2C",'Mapa final'!$R$48),"")</f>
        <v/>
      </c>
      <c r="AC35" s="38" t="str">
        <f>IF(AND('Mapa final'!$AH$43="Media",'Mapa final'!$AJ$43="Mayor"),CONCATENATE("R2C",'Mapa final'!$R$43),"")</f>
        <v/>
      </c>
      <c r="AD35" s="39" t="str">
        <f>IF(AND('Mapa final'!$AH$44="Media",'Mapa final'!$AJ$44="Mayor"),CONCATENATE("R2C",'Mapa final'!$R$44),"")</f>
        <v/>
      </c>
      <c r="AE35" s="39" t="str">
        <f>IF(AND('Mapa final'!$AH$45="Media",'Mapa final'!$AJ$45="Mayor"),CONCATENATE("R2C",'Mapa final'!$R$45),"")</f>
        <v/>
      </c>
      <c r="AF35" s="39" t="str">
        <f>IF(AND('Mapa final'!$AH$46="Media",'Mapa final'!$AJ$46="Mayor"),CONCATENATE("R2C",'Mapa final'!$R$46),"")</f>
        <v/>
      </c>
      <c r="AG35" s="39" t="str">
        <f>IF(AND('Mapa final'!$AH$47="Media",'Mapa final'!$AJ$47="Mayor"),CONCATENATE("R2C",'Mapa final'!$R$47),"")</f>
        <v/>
      </c>
      <c r="AH35" s="40" t="str">
        <f>IF(AND('Mapa final'!$AH$48="Media",'Mapa final'!$AJ$48="Mayor"),CONCATENATE("R2C",'Mapa final'!$R$48),"")</f>
        <v/>
      </c>
      <c r="AI35" s="41" t="str">
        <f>IF(AND('Mapa final'!$AH$43="Media",'Mapa final'!$AJ$43="Catastrófico"),CONCATENATE("R2C",'Mapa final'!$R$43),"")</f>
        <v/>
      </c>
      <c r="AJ35" s="42" t="str">
        <f>IF(AND('Mapa final'!$AH$44="Media",'Mapa final'!$AJ$44="Catastrófico"),CONCATENATE("R2C",'Mapa final'!$R$44),"")</f>
        <v/>
      </c>
      <c r="AK35" s="42" t="str">
        <f>IF(AND('Mapa final'!$AH$45="Media",'Mapa final'!$AJ$45="Catastrófico"),CONCATENATE("R2C",'Mapa final'!$R$45),"")</f>
        <v/>
      </c>
      <c r="AL35" s="42" t="str">
        <f>IF(AND('Mapa final'!$AH$46="Media",'Mapa final'!$AJ$46="Catastrófico"),CONCATENATE("R2C",'Mapa final'!$R$46),"")</f>
        <v/>
      </c>
      <c r="AM35" s="42" t="str">
        <f>IF(AND('Mapa final'!$AH$47="Media",'Mapa final'!$AJ$47="LCatastrófico"),CONCATENATE("R2C",'Mapa final'!$R$47),"")</f>
        <v/>
      </c>
      <c r="AN35" s="43" t="str">
        <f>IF(AND('Mapa final'!$AH$48="Media",'Mapa final'!$AJ$48="Catastrófico"),CONCATENATE("R2C",'Mapa final'!$R$48),"")</f>
        <v/>
      </c>
      <c r="AO35" s="68"/>
      <c r="AP35" s="627"/>
      <c r="AQ35" s="628"/>
      <c r="AR35" s="628"/>
      <c r="AS35" s="628"/>
      <c r="AT35" s="628"/>
      <c r="AU35" s="629"/>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c r="B36" s="68"/>
      <c r="C36" s="497"/>
      <c r="D36" s="497"/>
      <c r="E36" s="498"/>
      <c r="F36" s="587"/>
      <c r="G36" s="588"/>
      <c r="H36" s="588"/>
      <c r="I36" s="588"/>
      <c r="J36" s="589"/>
      <c r="K36" s="53" t="str">
        <f>IF(AND('Mapa final'!$AH$49="Media",'Mapa final'!$AJ$49="Leve"),CONCATENATE("R2C",'Mapa final'!$R$49),"")</f>
        <v/>
      </c>
      <c r="L36" s="54" t="str">
        <f>IF(AND('Mapa final'!$AH$50="Media",'Mapa final'!$AJ$50="Leve"),CONCATENATE("R2C",'Mapa final'!$R$50),"")</f>
        <v/>
      </c>
      <c r="M36" s="54" t="str">
        <f>IF(AND('Mapa final'!$AH$51="Media",'Mapa final'!$AJ$51="Leve"),CONCATENATE("R2C",'Mapa final'!$R$51),"")</f>
        <v/>
      </c>
      <c r="N36" s="54" t="str">
        <f>IF(AND('Mapa final'!$AH$52="Media",'Mapa final'!$AJ$52="Leve"),CONCATENATE("R2C",'Mapa final'!$R$52),"")</f>
        <v/>
      </c>
      <c r="O36" s="54" t="str">
        <f>IF(AND('Mapa final'!$AH$53="Media",'Mapa final'!$AJ$53="Leve"),CONCATENATE("R2C",'Mapa final'!$R$53),"")</f>
        <v/>
      </c>
      <c r="P36" s="55" t="str">
        <f>IF(AND('Mapa final'!$AH$54="Media",'Mapa final'!$AJ$54="Leve"),CONCATENATE("R2C",'Mapa final'!$R$54),"")</f>
        <v/>
      </c>
      <c r="Q36" s="53" t="str">
        <f>IF(AND('Mapa final'!$AH$49="Media",'Mapa final'!$AJ$49="Menor"),CONCATENATE("R2C",'Mapa final'!$R$49),"")</f>
        <v/>
      </c>
      <c r="R36" s="54" t="str">
        <f>IF(AND('Mapa final'!$AH$50="Media",'Mapa final'!$AJ$50="Menor"),CONCATENATE("R2C",'Mapa final'!$R$50),"")</f>
        <v/>
      </c>
      <c r="S36" s="54" t="str">
        <f>IF(AND('Mapa final'!$AH$51="Media",'Mapa final'!$AJ$51="Menor"),CONCATENATE("R2C",'Mapa final'!$R$51),"")</f>
        <v/>
      </c>
      <c r="T36" s="54" t="str">
        <f>IF(AND('Mapa final'!$AH$52="Media",'Mapa final'!$AJ$52="Menor"),CONCATENATE("R2C",'Mapa final'!$R$52),"")</f>
        <v/>
      </c>
      <c r="U36" s="54" t="str">
        <f>IF(AND('Mapa final'!$AH$53="Media",'Mapa final'!$AJ$53="Menor"),CONCATENATE("R2C",'Mapa final'!$R$53),"")</f>
        <v/>
      </c>
      <c r="V36" s="55" t="str">
        <f>IF(AND('Mapa final'!$AH$54="Media",'Mapa final'!$AJ$54="Menor"),CONCATENATE("R2C",'Mapa final'!$R$54),"")</f>
        <v/>
      </c>
      <c r="W36" s="53" t="str">
        <f>IF(AND('Mapa final'!$AH$49="Media",'Mapa final'!$AJ$49="Moderado"),CONCATENATE("R2C",'Mapa final'!$R$49),"")</f>
        <v/>
      </c>
      <c r="X36" s="54" t="str">
        <f>IF(AND('Mapa final'!$AH$50="Media",'Mapa final'!$AJ$50="Moderado"),CONCATENATE("R2C",'Mapa final'!$R$50),"")</f>
        <v/>
      </c>
      <c r="Y36" s="54" t="str">
        <f>IF(AND('Mapa final'!$AH$51="Media",'Mapa final'!$AJ$51="Moderado"),CONCATENATE("R2C",'Mapa final'!$R$51),"")</f>
        <v/>
      </c>
      <c r="Z36" s="54" t="str">
        <f>IF(AND('Mapa final'!$AH$52="Media",'Mapa final'!$AJ$52="Moderado"),CONCATENATE("R2C",'Mapa final'!$R$52),"")</f>
        <v/>
      </c>
      <c r="AA36" s="54" t="str">
        <f>IF(AND('Mapa final'!$AH$53="Media",'Mapa final'!$AJ$53="Moderado"),CONCATENATE("R2C",'Mapa final'!$R$53),"")</f>
        <v/>
      </c>
      <c r="AB36" s="55" t="str">
        <f>IF(AND('Mapa final'!$AH$54="Media",'Mapa final'!$AJ$54="Moderado"),CONCATENATE("R2C",'Mapa final'!$R$54),"")</f>
        <v/>
      </c>
      <c r="AC36" s="38" t="str">
        <f>IF(AND('Mapa final'!$AH$49="Media",'Mapa final'!$AJ$49="Mayor"),CONCATENATE("R2C",'Mapa final'!$R$49),"")</f>
        <v/>
      </c>
      <c r="AD36" s="39" t="str">
        <f>IF(AND('Mapa final'!$AH$50="Media",'Mapa final'!$AJ$50="Mayor"),CONCATENATE("R2C",'Mapa final'!$R$50),"")</f>
        <v/>
      </c>
      <c r="AE36" s="39" t="str">
        <f>IF(AND('Mapa final'!$AH$51="Media",'Mapa final'!$AJ$51="Mayor"),CONCATENATE("R2C",'Mapa final'!$R$51),"")</f>
        <v/>
      </c>
      <c r="AF36" s="39" t="str">
        <f>IF(AND('Mapa final'!$AH$52="Media",'Mapa final'!$AJ$52="Mayor"),CONCATENATE("R2C",'Mapa final'!$R$52),"")</f>
        <v/>
      </c>
      <c r="AG36" s="39" t="str">
        <f>IF(AND('Mapa final'!$AH$53="Media",'Mapa final'!$AJ$53="Mayor"),CONCATENATE("R2C",'Mapa final'!$R$53),"")</f>
        <v/>
      </c>
      <c r="AH36" s="40" t="str">
        <f>IF(AND('Mapa final'!$AH$54="Media",'Mapa final'!$AJ$54="Mayor"),CONCATENATE("R2C",'Mapa final'!$R$54),"")</f>
        <v/>
      </c>
      <c r="AI36" s="41" t="str">
        <f>IF(AND('Mapa final'!$AH$49="Media",'Mapa final'!$AJ$49="Catastrófico"),CONCATENATE("R2C",'Mapa final'!$R$49),"")</f>
        <v/>
      </c>
      <c r="AJ36" s="42" t="str">
        <f>IF(AND('Mapa final'!$AH$50="Media",'Mapa final'!$AJ$50="Catastrófico"),CONCATENATE("R2C",'Mapa final'!$R$50),"")</f>
        <v/>
      </c>
      <c r="AK36" s="42" t="str">
        <f>IF(AND('Mapa final'!$AH$51="Media",'Mapa final'!$AJ$51="Catastrófico"),CONCATENATE("R2C",'Mapa final'!$R$51),"")</f>
        <v/>
      </c>
      <c r="AL36" s="42" t="str">
        <f>IF(AND('Mapa final'!$AH$52="Media",'Mapa final'!$AJ$52="Catastrófico"),CONCATENATE("R2C",'Mapa final'!$R$52),"")</f>
        <v/>
      </c>
      <c r="AM36" s="42" t="str">
        <f>IF(AND('Mapa final'!$AH$53="Media",'Mapa final'!$AJ$53="Catastrófico"),CONCATENATE("R2C",'Mapa final'!$R$53),"")</f>
        <v/>
      </c>
      <c r="AN36" s="43" t="str">
        <f>IF(AND('Mapa final'!$AH$54="Media",'Mapa final'!$AJ$54="Catastrófico"),CONCATENATE("R2C",'Mapa final'!$R$54),"")</f>
        <v/>
      </c>
      <c r="AO36" s="68"/>
      <c r="AP36" s="627"/>
      <c r="AQ36" s="628"/>
      <c r="AR36" s="628"/>
      <c r="AS36" s="628"/>
      <c r="AT36" s="628"/>
      <c r="AU36" s="629"/>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c r="B37" s="68"/>
      <c r="C37" s="497"/>
      <c r="D37" s="497"/>
      <c r="E37" s="498"/>
      <c r="F37" s="587"/>
      <c r="G37" s="588"/>
      <c r="H37" s="588"/>
      <c r="I37" s="588"/>
      <c r="J37" s="589"/>
      <c r="K37" s="53" t="str">
        <f>IF(AND('Mapa final'!$AH$55="Media",'Mapa final'!$AJ$55="Leve"),CONCATENATE("R2C",'Mapa final'!$R$55),"")</f>
        <v/>
      </c>
      <c r="L37" s="54" t="str">
        <f>IF(AND('Mapa final'!$AH$56="Media",'Mapa final'!$AJ$56="Leve"),CONCATENATE("R2C",'Mapa final'!$R$56),"")</f>
        <v/>
      </c>
      <c r="M37" s="54" t="str">
        <f>IF(AND('Mapa final'!$AH$57="Media",'Mapa final'!$AJ$57="Leve"),CONCATENATE("R2C",'Mapa final'!$R$57),"")</f>
        <v/>
      </c>
      <c r="N37" s="54" t="str">
        <f>IF(AND('Mapa final'!$AH$58="Media",'Mapa final'!$AJ$58="Leve"),CONCATENATE("R2C",'Mapa final'!$R$58),"")</f>
        <v/>
      </c>
      <c r="O37" s="54" t="str">
        <f>IF(AND('Mapa final'!$AH$59="Media",'Mapa final'!$AJ$59="Leve"),CONCATENATE("R2C",'Mapa final'!$R$59),"")</f>
        <v/>
      </c>
      <c r="P37" s="55" t="str">
        <f>IF(AND('Mapa final'!$AH$70="Media",'Mapa final'!$AJ$60="Leve"),CONCATENATE("R2C",'Mapa final'!$R$60),"")</f>
        <v/>
      </c>
      <c r="Q37" s="53" t="str">
        <f>IF(AND('Mapa final'!$AH$55="Media",'Mapa final'!$AJ$55="Menor"),CONCATENATE("R2C",'Mapa final'!$R$55),"")</f>
        <v/>
      </c>
      <c r="R37" s="54" t="str">
        <f>IF(AND('Mapa final'!$AH$56="Media",'Mapa final'!$AJ$56="Menor"),CONCATENATE("R2C",'Mapa final'!$R$56),"")</f>
        <v/>
      </c>
      <c r="S37" s="54" t="str">
        <f>IF(AND('Mapa final'!$AH$57="Media",'Mapa final'!$AJ$57="Menor"),CONCATENATE("R2C",'Mapa final'!$R$57),"")</f>
        <v/>
      </c>
      <c r="T37" s="54" t="str">
        <f>IF(AND('Mapa final'!$AH$58="Media",'Mapa final'!$AJ$58="Menor"),CONCATENATE("R2C",'Mapa final'!$R$58),"")</f>
        <v/>
      </c>
      <c r="U37" s="54" t="str">
        <f>IF(AND('Mapa final'!$AH$59="Media",'Mapa final'!$AJ$59="Menor"),CONCATENATE("R2C",'Mapa final'!$R$59),"")</f>
        <v/>
      </c>
      <c r="V37" s="55" t="str">
        <f>IF(AND('Mapa final'!$AH$70="Media",'Mapa final'!$AJ$60="Menor"),CONCATENATE("R2C",'Mapa final'!$R$60),"")</f>
        <v/>
      </c>
      <c r="W37" s="53" t="str">
        <f>IF(AND('Mapa final'!$AH$55="Media",'Mapa final'!$AJ$55="Moderado"),CONCATENATE("R2C",'Mapa final'!$R$55),"")</f>
        <v/>
      </c>
      <c r="X37" s="54" t="str">
        <f>IF(AND('Mapa final'!$AH$56="Media",'Mapa final'!$AJ$56="Moderado"),CONCATENATE("R2C",'Mapa final'!$R$56),"")</f>
        <v/>
      </c>
      <c r="Y37" s="54" t="str">
        <f>IF(AND('Mapa final'!$AH$57="Media",'Mapa final'!$AJ$57="Moderado"),CONCATENATE("R2C",'Mapa final'!$R$57),"")</f>
        <v/>
      </c>
      <c r="Z37" s="54" t="str">
        <f>IF(AND('Mapa final'!$AH$58="Media",'Mapa final'!$AJ$58="Moderado"),CONCATENATE("R2C",'Mapa final'!$R$58),"")</f>
        <v/>
      </c>
      <c r="AA37" s="54" t="str">
        <f>IF(AND('Mapa final'!$AH$59="Media",'Mapa final'!$AJ$59="Moderado"),CONCATENATE("R2C",'Mapa final'!$R$59),"")</f>
        <v/>
      </c>
      <c r="AB37" s="55" t="str">
        <f>IF(AND('Mapa final'!$AH$70="Media",'Mapa final'!$AJ$60="Moderado"),CONCATENATE("R2C",'Mapa final'!$R$60),"")</f>
        <v/>
      </c>
      <c r="AC37" s="38" t="str">
        <f>IF(AND('Mapa final'!$AH$55="Media",'Mapa final'!$AJ$55="Mayor"),CONCATENATE("R2C",'Mapa final'!$R$55),"")</f>
        <v/>
      </c>
      <c r="AD37" s="39" t="str">
        <f>IF(AND('Mapa final'!$AH$56="Media",'Mapa final'!$AJ$56="Mayor"),CONCATENATE("R2C",'Mapa final'!$R$56),"")</f>
        <v/>
      </c>
      <c r="AE37" s="39" t="str">
        <f>IF(AND('Mapa final'!$AH$57="Media",'Mapa final'!$AJ$57="Mayor"),CONCATENATE("R2C",'Mapa final'!$R$57),"")</f>
        <v/>
      </c>
      <c r="AF37" s="39" t="str">
        <f>IF(AND('Mapa final'!$AH$58="Media",'Mapa final'!$AJ$58="Mayor"),CONCATENATE("R2C",'Mapa final'!$R$58),"")</f>
        <v/>
      </c>
      <c r="AG37" s="39" t="str">
        <f>IF(AND('Mapa final'!$AH$59="Media",'Mapa final'!$AJ$59="Mayor"),CONCATENATE("R2C",'Mapa final'!$R$59),"")</f>
        <v/>
      </c>
      <c r="AH37" s="40" t="str">
        <f>IF(AND('Mapa final'!$AH$70="Media",'Mapa final'!$AJ$60="Mayor"),CONCATENATE("R2C",'Mapa final'!$R$60),"")</f>
        <v/>
      </c>
      <c r="AI37" s="41" t="str">
        <f>IF(AND('Mapa final'!$AH$55="Media",'Mapa final'!$AJ$55="Catastrófico"),CONCATENATE("R2C",'Mapa final'!$R$55),"")</f>
        <v/>
      </c>
      <c r="AJ37" s="42" t="str">
        <f>IF(AND('Mapa final'!$AH$56="Media",'Mapa final'!$AJ$56="Catastrófico"),CONCATENATE("R2C",'Mapa final'!$R$56),"")</f>
        <v/>
      </c>
      <c r="AK37" s="42" t="str">
        <f>IF(AND('Mapa final'!$AH$57="Media",'Mapa final'!$AJ$57="Catastrófico"),CONCATENATE("R2C",'Mapa final'!$R$57),"")</f>
        <v/>
      </c>
      <c r="AL37" s="42" t="str">
        <f>IF(AND('Mapa final'!$AH$58="Media",'Mapa final'!$AJ$58="Catastrófico"),CONCATENATE("R2C",'Mapa final'!$R$58),"")</f>
        <v/>
      </c>
      <c r="AM37" s="42" t="str">
        <f>IF(AND('Mapa final'!$AH$59="Media",'Mapa final'!$AJ$59="Catastrófico"),CONCATENATE("R2C",'Mapa final'!$R$59),"")</f>
        <v/>
      </c>
      <c r="AN37" s="43" t="str">
        <f>IF(AND('Mapa final'!$AH$70="Media",'Mapa final'!$AJ$60="Catastrófico"),CONCATENATE("R2C",'Mapa final'!$R$60),"")</f>
        <v/>
      </c>
      <c r="AO37" s="68"/>
      <c r="AP37" s="627"/>
      <c r="AQ37" s="628"/>
      <c r="AR37" s="628"/>
      <c r="AS37" s="628"/>
      <c r="AT37" s="628"/>
      <c r="AU37" s="629"/>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c r="B38" s="68"/>
      <c r="C38" s="497"/>
      <c r="D38" s="497"/>
      <c r="E38" s="498"/>
      <c r="F38" s="587"/>
      <c r="G38" s="588"/>
      <c r="H38" s="588"/>
      <c r="I38" s="588"/>
      <c r="J38" s="589"/>
      <c r="K38" s="53" t="str">
        <f>IF(AND('Mapa final'!$AH$61="Media",'Mapa final'!$AJ$61="Leve"),CONCATENATE("R2C",'Mapa final'!$R$61),"")</f>
        <v/>
      </c>
      <c r="L38" s="54" t="str">
        <f>IF(AND('Mapa final'!$AH$62="Media",'Mapa final'!$AJ$62="Leve"),CONCATENATE("R2C",'Mapa final'!$R$62),"")</f>
        <v/>
      </c>
      <c r="M38" s="54" t="str">
        <f>IF(AND('Mapa final'!$AH$63="Media",'Mapa final'!$AJ$63="Leve"),CONCATENATE("R2C",'Mapa final'!$R$63),"")</f>
        <v/>
      </c>
      <c r="N38" s="54" t="str">
        <f>IF(AND('Mapa final'!$AH$64="Media",'Mapa final'!$AJ$64="Leve"),CONCATENATE("R2C",'Mapa final'!$R$64),"")</f>
        <v/>
      </c>
      <c r="O38" s="54" t="str">
        <f>IF(AND('Mapa final'!$AH$65="Media",'Mapa final'!$AJ$65="Leve"),CONCATENATE("R2C",'Mapa final'!$R$65),"")</f>
        <v/>
      </c>
      <c r="P38" s="55" t="str">
        <f>IF(AND('Mapa final'!$AH$66="Media",'Mapa final'!$AJ$66="Leve"),CONCATENATE("R2C",'Mapa final'!$R$66),"")</f>
        <v/>
      </c>
      <c r="Q38" s="53" t="str">
        <f>IF(AND('Mapa final'!$AH$61="Media",'Mapa final'!$AJ$61="Menor"),CONCATENATE("R2C",'Mapa final'!$R$61),"")</f>
        <v/>
      </c>
      <c r="R38" s="54" t="str">
        <f>IF(AND('Mapa final'!$AH$62="Media",'Mapa final'!$AJ$62="Menor"),CONCATENATE("R2C",'Mapa final'!$R$62),"")</f>
        <v/>
      </c>
      <c r="S38" s="54" t="str">
        <f>IF(AND('Mapa final'!$AH$63="Media",'Mapa final'!$AJ$63="Menor"),CONCATENATE("R2C",'Mapa final'!$R$63),"")</f>
        <v/>
      </c>
      <c r="T38" s="54" t="str">
        <f>IF(AND('Mapa final'!$AH$64="Media",'Mapa final'!$AJ$64="Menor"),CONCATENATE("R2C",'Mapa final'!$R$64),"")</f>
        <v/>
      </c>
      <c r="U38" s="54" t="str">
        <f>IF(AND('Mapa final'!$AH$65="Media",'Mapa final'!$AJ$65="Menor"),CONCATENATE("R2C",'Mapa final'!$R$65),"")</f>
        <v/>
      </c>
      <c r="V38" s="55" t="str">
        <f>IF(AND('Mapa final'!$AH$66="Media",'Mapa final'!$AJ$66="Menor"),CONCATENATE("R2C",'Mapa final'!$R$66),"")</f>
        <v/>
      </c>
      <c r="W38" s="53" t="str">
        <f>IF(AND('Mapa final'!$AH$61="Media",'Mapa final'!$AJ$61="Moderado"),CONCATENATE("R2C",'Mapa final'!$R$61),"")</f>
        <v/>
      </c>
      <c r="X38" s="54" t="str">
        <f>IF(AND('Mapa final'!$AH$62="Media",'Mapa final'!$AJ$62="Moderado"),CONCATENATE("R2C",'Mapa final'!$R$62),"")</f>
        <v/>
      </c>
      <c r="Y38" s="54" t="str">
        <f>IF(AND('Mapa final'!$AH$63="Media",'Mapa final'!$AJ$63="Moderado"),CONCATENATE("R2C",'Mapa final'!$R$63),"")</f>
        <v/>
      </c>
      <c r="Z38" s="54" t="str">
        <f>IF(AND('Mapa final'!$AH$64="Media",'Mapa final'!$AJ$64="Moderado"),CONCATENATE("R2C",'Mapa final'!$R$64),"")</f>
        <v/>
      </c>
      <c r="AA38" s="54" t="str">
        <f>IF(AND('Mapa final'!$AH$65="Media",'Mapa final'!$AJ$65="Moderado"),CONCATENATE("R2C",'Mapa final'!$R$65),"")</f>
        <v/>
      </c>
      <c r="AB38" s="55" t="str">
        <f>IF(AND('Mapa final'!$AH$66="Media",'Mapa final'!$AJ$66="Moderado"),CONCATENATE("R2C",'Mapa final'!$R$66),"")</f>
        <v/>
      </c>
      <c r="AC38" s="38" t="str">
        <f>IF(AND('Mapa final'!$AH$61="Media",'Mapa final'!$AJ$61="Mayor"),CONCATENATE("R2C",'Mapa final'!$R$61),"")</f>
        <v/>
      </c>
      <c r="AD38" s="39" t="str">
        <f>IF(AND('Mapa final'!$AH$62="Media",'Mapa final'!$AJ$62="Mayor"),CONCATENATE("R2C",'Mapa final'!$R$62),"")</f>
        <v/>
      </c>
      <c r="AE38" s="39" t="str">
        <f>IF(AND('Mapa final'!$AH$63="Media",'Mapa final'!$AJ$63="Mayor"),CONCATENATE("R2C",'Mapa final'!$R$63),"")</f>
        <v/>
      </c>
      <c r="AF38" s="39" t="str">
        <f>IF(AND('Mapa final'!$AH$64="Media",'Mapa final'!$AJ$64="Mayor"),CONCATENATE("R2C",'Mapa final'!$R$64),"")</f>
        <v/>
      </c>
      <c r="AG38" s="39" t="str">
        <f>IF(AND('Mapa final'!$AH$65="Media",'Mapa final'!$AJ$65="Mayor"),CONCATENATE("R2C",'Mapa final'!$R$65),"")</f>
        <v/>
      </c>
      <c r="AH38" s="40" t="str">
        <f>IF(AND('Mapa final'!$AH$66="Media",'Mapa final'!$AJ$66="Mayor"),CONCATENATE("R2C",'Mapa final'!$R$66),"")</f>
        <v/>
      </c>
      <c r="AI38" s="41" t="str">
        <f>IF(AND('Mapa final'!$AH$61="Media",'Mapa final'!$AJ$61="Catastrófico"),CONCATENATE("R2C",'Mapa final'!$R$61),"")</f>
        <v/>
      </c>
      <c r="AJ38" s="42" t="str">
        <f>IF(AND('Mapa final'!$AH$62="Media",'Mapa final'!$AJ$62="Catastrófico"),CONCATENATE("R2C",'Mapa final'!$R$62),"")</f>
        <v/>
      </c>
      <c r="AK38" s="42" t="str">
        <f>IF(AND('Mapa final'!$AH$63="Media",'Mapa final'!$AJ$63="Catastrófico"),CONCATENATE("R2C",'Mapa final'!$R$63),"")</f>
        <v/>
      </c>
      <c r="AL38" s="42" t="str">
        <f>IF(AND('Mapa final'!$AH$64="Media",'Mapa final'!$AJ$64="Catastrófico"),CONCATENATE("R2C",'Mapa final'!$R$64),"")</f>
        <v/>
      </c>
      <c r="AM38" s="42" t="str">
        <f>IF(AND('Mapa final'!$AH$65="Media",'Mapa final'!$AJ$65="Catastrófico"),CONCATENATE("R2C",'Mapa final'!$R$65),"")</f>
        <v/>
      </c>
      <c r="AN38" s="43" t="str">
        <f>IF(AND('Mapa final'!$AH$66="Media",'Mapa final'!$AJ$66="Catastrófico"),CONCATENATE("R2C",'Mapa final'!$R$66),"")</f>
        <v/>
      </c>
      <c r="AO38" s="68"/>
      <c r="AP38" s="627"/>
      <c r="AQ38" s="628"/>
      <c r="AR38" s="628"/>
      <c r="AS38" s="628"/>
      <c r="AT38" s="628"/>
      <c r="AU38" s="629"/>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c r="B39" s="68"/>
      <c r="C39" s="497"/>
      <c r="D39" s="497"/>
      <c r="E39" s="498"/>
      <c r="F39" s="587"/>
      <c r="G39" s="588"/>
      <c r="H39" s="588"/>
      <c r="I39" s="588"/>
      <c r="J39" s="589"/>
      <c r="K39" s="53" t="str">
        <f>IF(AND('Mapa final'!$AH$67="Media",'Mapa final'!$AJ$67="Leve"),CONCATENATE("R2C",'Mapa final'!$R$67),"")</f>
        <v/>
      </c>
      <c r="L39" s="54" t="str">
        <f>IF(AND('Mapa final'!$AH$68="Media",'Mapa final'!$AJ$68="Leve"),CONCATENATE("R2C",'Mapa final'!$R$68),"")</f>
        <v/>
      </c>
      <c r="M39" s="54" t="str">
        <f>IF(AND('Mapa final'!$AH$69="Media",'Mapa final'!$AJ$69="Leve"),CONCATENATE("R2C",'Mapa final'!$R$69),"")</f>
        <v/>
      </c>
      <c r="N39" s="54" t="str">
        <f>IF(AND('Mapa final'!$AH$70="Media",'Mapa final'!$AJ$70="Leve"),CONCATENATE("R2C",'Mapa final'!$R$70),"")</f>
        <v/>
      </c>
      <c r="O39" s="54" t="str">
        <f>IF(AND('Mapa final'!$AH$71="Media",'Mapa final'!$AJ$71="Leve"),CONCATENATE("R2C",'Mapa final'!$R$71),"")</f>
        <v/>
      </c>
      <c r="P39" s="55" t="str">
        <f>IF(AND('Mapa final'!$AH$72="Media",'Mapa final'!$AJ$72="Leve"),CONCATENATE("R2C",'Mapa final'!$R$72),"")</f>
        <v/>
      </c>
      <c r="Q39" s="53" t="str">
        <f>IF(AND('Mapa final'!$AH$67="Media",'Mapa final'!$AJ$67="Menor"),CONCATENATE("R2C",'Mapa final'!$R$67),"")</f>
        <v/>
      </c>
      <c r="R39" s="54" t="str">
        <f>IF(AND('Mapa final'!$AH$68="Media",'Mapa final'!$AJ$68="Menor"),CONCATENATE("R2C",'Mapa final'!$R$68),"")</f>
        <v/>
      </c>
      <c r="S39" s="54" t="str">
        <f>IF(AND('Mapa final'!$AH$69="Media",'Mapa final'!$AJ$69="Menor"),CONCATENATE("R2C",'Mapa final'!$R$69),"")</f>
        <v/>
      </c>
      <c r="T39" s="54" t="str">
        <f>IF(AND('Mapa final'!$AH$70="Media",'Mapa final'!$AJ$70="Menor"),CONCATENATE("R2C",'Mapa final'!$R$70),"")</f>
        <v/>
      </c>
      <c r="U39" s="54" t="str">
        <f>IF(AND('Mapa final'!$AH$71="Media",'Mapa final'!$AJ$71="Menor"),CONCATENATE("R2C",'Mapa final'!$R$71),"")</f>
        <v/>
      </c>
      <c r="V39" s="55" t="str">
        <f>IF(AND('Mapa final'!$AH$72="Media",'Mapa final'!$AJ$72="Menor"),CONCATENATE("R2C",'Mapa final'!$R$72),"")</f>
        <v/>
      </c>
      <c r="W39" s="53" t="str">
        <f>IF(AND('Mapa final'!$AH$67="Media",'Mapa final'!$AJ$67="Moderado"),CONCATENATE("R2C",'Mapa final'!$R$67),"")</f>
        <v/>
      </c>
      <c r="X39" s="54" t="str">
        <f>IF(AND('Mapa final'!$AH$68="Media",'Mapa final'!$AJ$68="Moderado"),CONCATENATE("R2C",'Mapa final'!$R$68),"")</f>
        <v/>
      </c>
      <c r="Y39" s="54" t="str">
        <f>IF(AND('Mapa final'!$AH$69="Media",'Mapa final'!$AJ$69="Moderado"),CONCATENATE("R2C",'Mapa final'!$R$69),"")</f>
        <v/>
      </c>
      <c r="Z39" s="54" t="str">
        <f>IF(AND('Mapa final'!$AH$70="Media",'Mapa final'!$AJ$70="Moderado"),CONCATENATE("R2C",'Mapa final'!$R$70),"")</f>
        <v/>
      </c>
      <c r="AA39" s="54" t="str">
        <f>IF(AND('Mapa final'!$AH$71="Media",'Mapa final'!$AJ$71="Moderado"),CONCATENATE("R2C",'Mapa final'!$R$71),"")</f>
        <v/>
      </c>
      <c r="AB39" s="55" t="str">
        <f>IF(AND('Mapa final'!$AH$72="Media",'Mapa final'!$AJ$72="Moderado"),CONCATENATE("R2C",'Mapa final'!$R$72),"")</f>
        <v/>
      </c>
      <c r="AC39" s="38" t="str">
        <f>IF(AND('Mapa final'!$AH$67="Media",'Mapa final'!$AJ$67="Mayor"),CONCATENATE("R2C",'Mapa final'!$R$67),"")</f>
        <v/>
      </c>
      <c r="AD39" s="39" t="str">
        <f>IF(AND('Mapa final'!$AH$68="Media",'Mapa final'!$AJ$68="Mayor"),CONCATENATE("R2C",'Mapa final'!$R$68),"")</f>
        <v/>
      </c>
      <c r="AE39" s="39" t="str">
        <f>IF(AND('Mapa final'!$AH$69="Media",'Mapa final'!$AJ$69="Mayor"),CONCATENATE("R2C",'Mapa final'!$R$69),"")</f>
        <v/>
      </c>
      <c r="AF39" s="39" t="str">
        <f>IF(AND('Mapa final'!$AH$70="Media",'Mapa final'!$AJ$70="Mayor"),CONCATENATE("R2C",'Mapa final'!$R$70),"")</f>
        <v/>
      </c>
      <c r="AG39" s="39" t="str">
        <f>IF(AND('Mapa final'!$AH$71="Media",'Mapa final'!$AJ$71="Mayor"),CONCATENATE("R2C",'Mapa final'!$R$71),"")</f>
        <v/>
      </c>
      <c r="AH39" s="40" t="str">
        <f>IF(AND('Mapa final'!$AH$72="Media",'Mapa final'!$AJ$72="Mayor"),CONCATENATE("R2C",'Mapa final'!$R$72),"")</f>
        <v/>
      </c>
      <c r="AI39" s="41" t="str">
        <f>IF(AND('Mapa final'!$AH$67="Media",'Mapa final'!$AJ$67="Catastrófico"),CONCATENATE("R2C",'Mapa final'!$R$67),"")</f>
        <v/>
      </c>
      <c r="AJ39" s="42" t="str">
        <f>IF(AND('Mapa final'!$AH$68="Media",'Mapa final'!$AJ$68="Catastrófico"),CONCATENATE("R2C",'Mapa final'!$R$68),"")</f>
        <v/>
      </c>
      <c r="AK39" s="42" t="str">
        <f>IF(AND('Mapa final'!$AH$69="Media",'Mapa final'!$AJ$69="Catastrófico"),CONCATENATE("R2C",'Mapa final'!$R$69),"")</f>
        <v/>
      </c>
      <c r="AL39" s="42" t="str">
        <f>IF(AND('Mapa final'!$AH$70="Media",'Mapa final'!$AJ$70="Catastrófico"),CONCATENATE("R2C",'Mapa final'!$R$70),"")</f>
        <v/>
      </c>
      <c r="AM39" s="42" t="str">
        <f>IF(AND('Mapa final'!$AH$71="Media",'Mapa final'!$AJ$71="Catastrófico"),CONCATENATE("R2C",'Mapa final'!$R$71),"")</f>
        <v/>
      </c>
      <c r="AN39" s="43" t="str">
        <f>IF(AND('Mapa final'!$AH$72="Media",'Mapa final'!$AJ$72="Catastrófico"),CONCATENATE("R2C",'Mapa final'!$R$72),"")</f>
        <v/>
      </c>
      <c r="AO39" s="68"/>
      <c r="AP39" s="627"/>
      <c r="AQ39" s="628"/>
      <c r="AR39" s="628"/>
      <c r="AS39" s="628"/>
      <c r="AT39" s="628"/>
      <c r="AU39" s="629"/>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c r="B40" s="68"/>
      <c r="C40" s="497"/>
      <c r="D40" s="497"/>
      <c r="E40" s="498"/>
      <c r="F40" s="587"/>
      <c r="G40" s="588"/>
      <c r="H40" s="588"/>
      <c r="I40" s="588"/>
      <c r="J40" s="589"/>
      <c r="K40" s="53" t="str">
        <f>IF(AND('Mapa final'!$AH$73="Media",'Mapa final'!$AJ$73="Leve"),CONCATENATE("R2C",'Mapa final'!$R$73),"")</f>
        <v/>
      </c>
      <c r="L40" s="54" t="str">
        <f>IF(AND('Mapa final'!$AH$74="Media",'Mapa final'!$AJ$74="Leve"),CONCATENATE("R2C",'Mapa final'!$R$74),"")</f>
        <v/>
      </c>
      <c r="M40" s="54" t="str">
        <f>IF(AND('Mapa final'!$AH$75="Media",'Mapa final'!$AJ$75="Leve"),CONCATENATE("R2C",'Mapa final'!$R$75),"")</f>
        <v/>
      </c>
      <c r="N40" s="54" t="str">
        <f>IF(AND('Mapa final'!$AH$76="Media",'Mapa final'!$AJ$76="Leve"),CONCATENATE("R2C",'Mapa final'!$R$76),"")</f>
        <v/>
      </c>
      <c r="O40" s="54" t="str">
        <f>IF(AND('Mapa final'!$AH$77="Media",'Mapa final'!$AJ$77="Leve"),CONCATENATE("R2C",'Mapa final'!$R$77),"")</f>
        <v/>
      </c>
      <c r="P40" s="55" t="str">
        <f>IF(AND('Mapa final'!$AH$78="Media",'Mapa final'!$AJ$78="Leve"),CONCATENATE("R2C",'Mapa final'!$R$78),"")</f>
        <v/>
      </c>
      <c r="Q40" s="53" t="str">
        <f>IF(AND('Mapa final'!$AH$73="Media",'Mapa final'!$AJ$73="Menor"),CONCATENATE("R2C",'Mapa final'!$R$73),"")</f>
        <v/>
      </c>
      <c r="R40" s="54" t="str">
        <f>IF(AND('Mapa final'!$AH$74="Media",'Mapa final'!$AJ$74="Menor"),CONCATENATE("R2C",'Mapa final'!$R$74),"")</f>
        <v/>
      </c>
      <c r="S40" s="54" t="str">
        <f>IF(AND('Mapa final'!$AH$75="Media",'Mapa final'!$AJ$75="Menor"),CONCATENATE("R2C",'Mapa final'!$R$75),"")</f>
        <v/>
      </c>
      <c r="T40" s="54" t="str">
        <f>IF(AND('Mapa final'!$AH$76="Media",'Mapa final'!$AJ$76="Menor"),CONCATENATE("R2C",'Mapa final'!$R$76),"")</f>
        <v/>
      </c>
      <c r="U40" s="54" t="str">
        <f>IF(AND('Mapa final'!$AH$77="Media",'Mapa final'!$AJ$77="Menor"),CONCATENATE("R2C",'Mapa final'!$R$77),"")</f>
        <v/>
      </c>
      <c r="V40" s="55" t="str">
        <f>IF(AND('Mapa final'!$AH$78="Media",'Mapa final'!$AJ$78="Menor"),CONCATENATE("R2C",'Mapa final'!$R$78),"")</f>
        <v/>
      </c>
      <c r="W40" s="53" t="str">
        <f>IF(AND('Mapa final'!$AH$73="Media",'Mapa final'!$AJ$73="Moderado"),CONCATENATE("R2C",'Mapa final'!$R$73),"")</f>
        <v/>
      </c>
      <c r="X40" s="54" t="str">
        <f>IF(AND('Mapa final'!$AH$74="Media",'Mapa final'!$AJ$74="Moderado"),CONCATENATE("R2C",'Mapa final'!$R$74),"")</f>
        <v/>
      </c>
      <c r="Y40" s="54" t="str">
        <f>IF(AND('Mapa final'!$AH$75="Media",'Mapa final'!$AJ$75="Moderado"),CONCATENATE("R2C",'Mapa final'!$R$75),"")</f>
        <v/>
      </c>
      <c r="Z40" s="54" t="str">
        <f>IF(AND('Mapa final'!$AH$76="Media",'Mapa final'!$AJ$76="Moderado"),CONCATENATE("R2C",'Mapa final'!$R$76),"")</f>
        <v/>
      </c>
      <c r="AA40" s="54" t="str">
        <f>IF(AND('Mapa final'!$AH$77="Media",'Mapa final'!$AJ$77="Moderado"),CONCATENATE("R2C",'Mapa final'!$R$77),"")</f>
        <v/>
      </c>
      <c r="AB40" s="55" t="str">
        <f>IF(AND('Mapa final'!$AH$78="Media",'Mapa final'!$AJ$78="Moderado"),CONCATENATE("R2C",'Mapa final'!$R$78),"")</f>
        <v/>
      </c>
      <c r="AC40" s="38" t="str">
        <f>IF(AND('Mapa final'!$AH$73="Media",'Mapa final'!$AJ$73="Mayor"),CONCATENATE("R2C",'Mapa final'!$R$73),"")</f>
        <v/>
      </c>
      <c r="AD40" s="39" t="str">
        <f>IF(AND('Mapa final'!$AH$74="Media",'Mapa final'!$AJ$74="Mayor"),CONCATENATE("R2C",'Mapa final'!$R$74),"")</f>
        <v/>
      </c>
      <c r="AE40" s="39" t="str">
        <f>IF(AND('Mapa final'!$AH$75="Media",'Mapa final'!$AJ$75="Mayor"),CONCATENATE("R2C",'Mapa final'!$R$75),"")</f>
        <v/>
      </c>
      <c r="AF40" s="39" t="str">
        <f>IF(AND('Mapa final'!$AH$76="Media",'Mapa final'!$AJ$76="Mayor"),CONCATENATE("R2C",'Mapa final'!$R$76),"")</f>
        <v/>
      </c>
      <c r="AG40" s="39" t="str">
        <f>IF(AND('Mapa final'!$AH$77="Media",'Mapa final'!$AJ$77="Mayor"),CONCATENATE("R2C",'Mapa final'!$R$77),"")</f>
        <v/>
      </c>
      <c r="AH40" s="40" t="str">
        <f>IF(AND('Mapa final'!$AH$78="Media",'Mapa final'!$AJ$78="Mayor"),CONCATENATE("R2C",'Mapa final'!$R$78),"")</f>
        <v/>
      </c>
      <c r="AI40" s="41" t="str">
        <f>IF(AND('Mapa final'!$AH$73="Media",'Mapa final'!$AJ$73="Catastrófico"),CONCATENATE("R2C",'Mapa final'!$R$73),"")</f>
        <v/>
      </c>
      <c r="AJ40" s="42" t="str">
        <f>IF(AND('Mapa final'!$AH$74="Media",'Mapa final'!$AJ$74="Catastrófico"),CONCATENATE("R2C",'Mapa final'!$R$74),"")</f>
        <v/>
      </c>
      <c r="AK40" s="42" t="str">
        <f>IF(AND('Mapa final'!$AH$75="Media",'Mapa final'!$AJ$75="Catastrófico"),CONCATENATE("R2C",'Mapa final'!$R$75),"")</f>
        <v/>
      </c>
      <c r="AL40" s="42" t="str">
        <f>IF(AND('Mapa final'!$AH$76="Media",'Mapa final'!$AJ$76="Catastrófico"),CONCATENATE("R2C",'Mapa final'!$R$76),"")</f>
        <v/>
      </c>
      <c r="AM40" s="42" t="str">
        <f>IF(AND('Mapa final'!$AH$77="Media",'Mapa final'!$AJ$77="Catastrófico"),CONCATENATE("R2C",'Mapa final'!$R$77),"")</f>
        <v/>
      </c>
      <c r="AN40" s="43" t="str">
        <f>IF(AND('Mapa final'!$AH$78="Media",'Mapa final'!$AJ$78="Catastrófico"),CONCATENATE("R2C",'Mapa final'!$R$78),"")</f>
        <v/>
      </c>
      <c r="AO40" s="68"/>
      <c r="AP40" s="627"/>
      <c r="AQ40" s="628"/>
      <c r="AR40" s="628"/>
      <c r="AS40" s="628"/>
      <c r="AT40" s="628"/>
      <c r="AU40" s="629"/>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c r="B41" s="68"/>
      <c r="C41" s="497"/>
      <c r="D41" s="497"/>
      <c r="E41" s="498"/>
      <c r="F41" s="590"/>
      <c r="G41" s="591"/>
      <c r="H41" s="591"/>
      <c r="I41" s="591"/>
      <c r="J41" s="592"/>
      <c r="K41" s="53" t="str">
        <f>IF(AND('Mapa final'!$AH$79="Media",'Mapa final'!$AJ$79="Leve"),CONCATENATE("R2C",'Mapa final'!$R$79),"")</f>
        <v/>
      </c>
      <c r="L41" s="54" t="str">
        <f>IF(AND('Mapa final'!$AH$80="Media",'Mapa final'!$AJ$80="Leve"),CONCATENATE("R2C",'Mapa final'!$R$80),"")</f>
        <v/>
      </c>
      <c r="M41" s="54" t="str">
        <f>IF(AND('Mapa final'!$AH$81="Media",'Mapa final'!$AJ$81="Leve"),CONCATENATE("R2C",'Mapa final'!$R$81),"")</f>
        <v/>
      </c>
      <c r="N41" s="54" t="str">
        <f>IF(AND('Mapa final'!$AH$82="Media",'Mapa final'!$AJ$82="Leve"),CONCATENATE("R2C",'Mapa final'!$R$82),"")</f>
        <v/>
      </c>
      <c r="O41" s="54" t="str">
        <f>IF(AND('Mapa final'!$AH$84="Media",'Mapa final'!$AJ$84="Leve"),CONCATENATE("R2C",'Mapa final'!$R$84),"")</f>
        <v/>
      </c>
      <c r="P41" s="55" t="str">
        <f>IF(AND('Mapa final'!$AH$85="Media",'Mapa final'!$AJ$85="Leve"),CONCATENATE("R2C",'Mapa final'!$R$85),"")</f>
        <v/>
      </c>
      <c r="Q41" s="53" t="str">
        <f>IF(AND('Mapa final'!$AH$79="Media",'Mapa final'!$AJ$79="Menor"),CONCATENATE("R2C",'Mapa final'!$R$79),"")</f>
        <v/>
      </c>
      <c r="R41" s="54" t="str">
        <f>IF(AND('Mapa final'!$AH$80="Media",'Mapa final'!$AJ$80="Menor"),CONCATENATE("R2C",'Mapa final'!$R$80),"")</f>
        <v/>
      </c>
      <c r="S41" s="54" t="str">
        <f>IF(AND('Mapa final'!$AH$81="Media",'Mapa final'!$AJ$81="Menor"),CONCATENATE("R2C",'Mapa final'!$R$81),"")</f>
        <v/>
      </c>
      <c r="T41" s="54" t="str">
        <f>IF(AND('Mapa final'!$AH$82="Media",'Mapa final'!$AJ$82="Menor"),CONCATENATE("R2C",'Mapa final'!$R$82),"")</f>
        <v/>
      </c>
      <c r="U41" s="54" t="str">
        <f>IF(AND('Mapa final'!$AH$84="Media",'Mapa final'!$AJ$84="Menor"),CONCATENATE("R2C",'Mapa final'!$R$84),"")</f>
        <v/>
      </c>
      <c r="V41" s="55" t="str">
        <f>IF(AND('Mapa final'!$AH$85="Media",'Mapa final'!$AJ$85="Menor"),CONCATENATE("R2C",'Mapa final'!$R$85),"")</f>
        <v/>
      </c>
      <c r="W41" s="53" t="str">
        <f>IF(AND('Mapa final'!$AH$79="Media",'Mapa final'!$AJ$79="Moderado"),CONCATENATE("R2C",'Mapa final'!$R$79),"")</f>
        <v/>
      </c>
      <c r="X41" s="54" t="str">
        <f>IF(AND('Mapa final'!$AH$80="Media",'Mapa final'!$AJ$80="Moderado"),CONCATENATE("R2C",'Mapa final'!$R$80),"")</f>
        <v/>
      </c>
      <c r="Y41" s="54" t="str">
        <f>IF(AND('Mapa final'!$AH$81="Media",'Mapa final'!$AJ$81="Moderado"),CONCATENATE("R2C",'Mapa final'!$R$81),"")</f>
        <v/>
      </c>
      <c r="Z41" s="54" t="str">
        <f>IF(AND('Mapa final'!$AH$82="Media",'Mapa final'!$AJ$82="Moderado"),CONCATENATE("R2C",'Mapa final'!$R$82),"")</f>
        <v/>
      </c>
      <c r="AA41" s="54" t="str">
        <f>IF(AND('Mapa final'!$AH$84="Media",'Mapa final'!$AJ$84="Moderado"),CONCATENATE("R2C",'Mapa final'!$R$84),"")</f>
        <v/>
      </c>
      <c r="AB41" s="55" t="str">
        <f>IF(AND('Mapa final'!$AH$85="Media",'Mapa final'!$AJ$85="Moderado"),CONCATENATE("R2C",'Mapa final'!$R$85),"")</f>
        <v/>
      </c>
      <c r="AC41" s="44" t="str">
        <f>IF(AND('Mapa final'!$AH$79="Media",'Mapa final'!$AJ$79="Mayor"),CONCATENATE("R2C",'Mapa final'!$R$79),"")</f>
        <v/>
      </c>
      <c r="AD41" s="45" t="str">
        <f>IF(AND('Mapa final'!$AH$80="Media",'Mapa final'!$AJ$80="Mayor"),CONCATENATE("R2C",'Mapa final'!$R$80),"")</f>
        <v/>
      </c>
      <c r="AE41" s="45" t="str">
        <f>IF(AND('Mapa final'!$AH$81="Media",'Mapa final'!$AJ$81="Mayor"),CONCATENATE("R2C",'Mapa final'!$R$81),"")</f>
        <v/>
      </c>
      <c r="AF41" s="45" t="str">
        <f>IF(AND('Mapa final'!$AH$82="Media",'Mapa final'!$AJ$82="Mayor"),CONCATENATE("R2C",'Mapa final'!$R$82),"")</f>
        <v/>
      </c>
      <c r="AG41" s="45" t="str">
        <f>IF(AND('Mapa final'!$AH$84="Media",'Mapa final'!$AJ$84="Mayor"),CONCATENATE("R2C",'Mapa final'!$R$84),"")</f>
        <v/>
      </c>
      <c r="AH41" s="46" t="str">
        <f>IF(AND('Mapa final'!$AH$85="Media",'Mapa final'!$AJ$85="Mayor"),CONCATENATE("R2C",'Mapa final'!$R$85),"")</f>
        <v/>
      </c>
      <c r="AI41" s="47" t="str">
        <f>IF(AND('Mapa final'!$AH$79="Media",'Mapa final'!$AJ$79="Catastrófico"),CONCATENATE("R2C",'Mapa final'!$R$79),"")</f>
        <v/>
      </c>
      <c r="AJ41" s="48" t="str">
        <f>IF(AND('Mapa final'!$AH$80="Media",'Mapa final'!$AJ$80="Catastrófico"),CONCATENATE("R2C",'Mapa final'!$R$80),"")</f>
        <v/>
      </c>
      <c r="AK41" s="48" t="str">
        <f>IF(AND('Mapa final'!$AH$81="Media",'Mapa final'!$AJ$81="Catastrófico"),CONCATENATE("R2C",'Mapa final'!$R$81),"")</f>
        <v/>
      </c>
      <c r="AL41" s="48" t="str">
        <f>IF(AND('Mapa final'!$AH$82="Media",'Mapa final'!$AJ$82="Catastrófico"),CONCATENATE("R2C",'Mapa final'!$R$82),"")</f>
        <v/>
      </c>
      <c r="AM41" s="48" t="str">
        <f>IF(AND('Mapa final'!$AH$84="Media",'Mapa final'!$AJ$84="Catastrófico"),CONCATENATE("R2C",'Mapa final'!$R$84),"")</f>
        <v/>
      </c>
      <c r="AN41" s="49" t="str">
        <f>IF(AND('Mapa final'!$AH$85="Muy Alta",'Mapa final'!$AJ$85="Catastrófico"),CONCATENATE("R2C",'Mapa final'!$R$85),"")</f>
        <v/>
      </c>
      <c r="AO41" s="68"/>
      <c r="AP41" s="630"/>
      <c r="AQ41" s="631"/>
      <c r="AR41" s="631"/>
      <c r="AS41" s="631"/>
      <c r="AT41" s="631"/>
      <c r="AU41" s="632"/>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c r="B42" s="68"/>
      <c r="C42" s="497"/>
      <c r="D42" s="497"/>
      <c r="E42" s="498"/>
      <c r="F42" s="584" t="s">
        <v>373</v>
      </c>
      <c r="G42" s="585"/>
      <c r="H42" s="585"/>
      <c r="I42" s="585"/>
      <c r="J42" s="585"/>
      <c r="K42" s="59"/>
      <c r="L42" s="60" t="str">
        <f>IF(AND('Mapa final'!$AH$16="Baja",'Mapa final'!$AJ$16="Leve"),CONCATENATE("R2C",'Mapa final'!$R$15),"")</f>
        <v/>
      </c>
      <c r="M42" s="60" t="str">
        <f>IF(AND('Mapa final'!$AH$17="Baja",'Mapa final'!$AJ$17="Leve"),CONCATENATE("R2C",'Mapa final'!$R$17),"")</f>
        <v/>
      </c>
      <c r="N42" s="60" t="str">
        <f>IF(AND('Mapa final'!$AH$20="Baja",'Mapa final'!$AJ$20="Leve"),CONCATENATE("R2C",'Mapa final'!$R$20),"")</f>
        <v/>
      </c>
      <c r="O42" s="60" t="str">
        <f>IF(AND('Mapa final'!$AH$21="Baja",'Mapa final'!$AJ$21="Leve"),CONCATENATE("R2C",'Mapa final'!$R$21),"")</f>
        <v/>
      </c>
      <c r="P42" s="61" t="str">
        <f>IF(AND('Mapa final'!$AH$22="Baja",'Mapa final'!$AJ$22="Leve"),CONCATENATE("R2C",'Mapa final'!$R$22),"")</f>
        <v/>
      </c>
      <c r="Q42" s="50"/>
      <c r="R42" s="51" t="str">
        <f>IF(AND('Mapa final'!$AH$16="Baja",'Mapa final'!$AJ$16="Menore"),CONCATENATE("R2C",'Mapa final'!$R$15),"")</f>
        <v/>
      </c>
      <c r="S42" s="51" t="str">
        <f>IF(AND('Mapa final'!$AH$17="Baja",'Mapa final'!$AJ$17="Menor"),CONCATENATE("R2C",'Mapa final'!$R$17),"")</f>
        <v/>
      </c>
      <c r="T42" s="51" t="str">
        <f>IF(AND('Mapa final'!$AH$20="Baja",'Mapa final'!$AJ$20="Menor"),CONCATENATE("R2C",'Mapa final'!$R$20),"")</f>
        <v/>
      </c>
      <c r="U42" s="51" t="str">
        <f>IF(AND('Mapa final'!$AH$21="Baja",'Mapa final'!$AJ$21="Menor"),CONCATENATE("R2C",'Mapa final'!$R$21),"")</f>
        <v/>
      </c>
      <c r="V42" s="52" t="str">
        <f>IF(AND('Mapa final'!$AH$22="Baja",'Mapa final'!$AJ$22="Menor"),CONCATENATE("R2C",'Mapa final'!$R$22),"")</f>
        <v/>
      </c>
      <c r="W42" s="50"/>
      <c r="X42" s="51" t="str">
        <f>IF(AND('Mapa final'!$AH$16="Baja",'Mapa final'!$AJ$16="Moderado"),CONCATENATE("R2C",'Mapa final'!$R$15),"")</f>
        <v/>
      </c>
      <c r="Y42" s="51"/>
      <c r="Z42" s="51" t="str">
        <f>IF(AND('Mapa final'!$AH$20="Baja",'Mapa final'!$AJ$20="Moderado"),CONCATENATE("R2C",'Mapa final'!$D$19),"")</f>
        <v/>
      </c>
      <c r="AA42" s="51" t="str">
        <f>IF(AND('Mapa final'!$AH$21="Baja",'Mapa final'!$AJ$21="Moderado"),CONCATENATE("R2C",'Mapa final'!$R$21),"")</f>
        <v/>
      </c>
      <c r="AB42" s="52" t="str">
        <f>IF(AND('Mapa final'!$AH$22="Baja",'Mapa final'!$AJ$22="Moderado"),CONCATENATE("R2C",'Mapa final'!$R$22),"")</f>
        <v/>
      </c>
      <c r="AC42" s="32"/>
      <c r="AD42" s="33" t="str">
        <f>IF(AND('Mapa final'!$AH$16="Baja",'Mapa final'!$AJ$16="Mayor"),CONCATENATE("R2C",'Mapa final'!$R$15),"")</f>
        <v/>
      </c>
      <c r="AE42" s="33" t="str">
        <f>IF(AND('Mapa final'!$AH$17="Baja",'Mapa final'!$AJ$17="Mayor"),CONCATENATE("R2C",'Mapa final'!$R$17),"")</f>
        <v/>
      </c>
      <c r="AF42" s="33" t="str">
        <f>IF(AND('Mapa final'!$AH$20="Baja",'Mapa final'!$AJ$20="Mayor"),CONCATENATE("R2C",'Mapa final'!$R$20),"")</f>
        <v/>
      </c>
      <c r="AG42" s="33" t="str">
        <f>IF(AND('Mapa final'!$AH$21="Baja",'Mapa final'!$AJ$21="Mayor"),CONCATENATE("R2C",'Mapa final'!$R$21),"")</f>
        <v/>
      </c>
      <c r="AH42" s="34" t="str">
        <f>IF(AND('Mapa final'!$AH$22="Baja",'Mapa final'!$AJ$22="Mayor"),CONCATENATE("R2C",'Mapa final'!$R$22),"")</f>
        <v/>
      </c>
      <c r="AI42" s="35"/>
      <c r="AJ42" s="36" t="str">
        <f>IF(AND('Mapa final'!$AH$16="Baja",'Mapa final'!$AJ$16="Catastrófico"),CONCATENATE("R2C",'Mapa final'!$R$15),"")</f>
        <v/>
      </c>
      <c r="AK42" s="36" t="str">
        <f>IF(AND('Mapa final'!$AH$17="Baja",'Mapa final'!$AJ$17="Catastrófico"),CONCATENATE("R2C",'Mapa final'!$R$17),"")</f>
        <v/>
      </c>
      <c r="AL42" s="36" t="str">
        <f>IF(AND('Mapa final'!$AH$20="Baja",'Mapa final'!$AJ$20="Catastrófico"),CONCATENATE("R2C",'Mapa final'!$R$20),"")</f>
        <v/>
      </c>
      <c r="AM42" s="36" t="str">
        <f>IF(AND('Mapa final'!$AH$21="Baja",'Mapa final'!$AJ$21="Catastrófico"),CONCATENATE("R2C",'Mapa final'!$R$21),"")</f>
        <v/>
      </c>
      <c r="AN42" s="37" t="str">
        <f>IF(AND('Mapa final'!$AH$22="Baja",'Mapa final'!$AJ$22="Catastrófico"),CONCATENATE("R2C",'Mapa final'!$R$22),"")</f>
        <v/>
      </c>
      <c r="AO42" s="68"/>
      <c r="AP42" s="615" t="s">
        <v>374</v>
      </c>
      <c r="AQ42" s="616"/>
      <c r="AR42" s="616"/>
      <c r="AS42" s="616"/>
      <c r="AT42" s="616"/>
      <c r="AU42" s="617"/>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c r="B43" s="68"/>
      <c r="C43" s="497"/>
      <c r="D43" s="497"/>
      <c r="E43" s="498"/>
      <c r="F43" s="602"/>
      <c r="G43" s="588"/>
      <c r="H43" s="588"/>
      <c r="I43" s="588"/>
      <c r="J43" s="588"/>
      <c r="K43" s="62" t="str">
        <f>IF(AND('Mapa final'!$AH$23="Baja",'Mapa final'!$AJ$23="Leve"),CONCATENATE("R2C",'Mapa final'!$R$23),"")</f>
        <v/>
      </c>
      <c r="L43" s="63" t="str">
        <f>IF(AND('Mapa final'!$AH$24="Baja",'Mapa final'!$AJ$24="Leve"),CONCATENATE("R2C",'Mapa final'!$R$24),"")</f>
        <v/>
      </c>
      <c r="M43" s="63" t="str">
        <f>IF(AND('Mapa final'!$AH$33="Baja",'Mapa final'!$AJ$33="Leve"),CONCATENATE("R2C",'Mapa final'!$R$33),"")</f>
        <v/>
      </c>
      <c r="N43" s="63" t="str">
        <f>IF(AND('Mapa final'!$AH$34="Baja",'Mapa final'!$AJ$34="Leve"),CONCATENATE("R2C",'Mapa final'!$R$34),"")</f>
        <v/>
      </c>
      <c r="O43" s="63" t="str">
        <f>IF(AND('Mapa final'!$AH$35="Baja",'Mapa final'!$AJ$35="Leve"),CONCATENATE("R2C",'Mapa final'!$R$35),"")</f>
        <v/>
      </c>
      <c r="P43" s="64" t="str">
        <f>IF(AND('Mapa final'!$AH$36="Baja",'Mapa final'!$AJ$36="Leve"),CONCATENATE("R2C",'Mapa final'!$R$36),"")</f>
        <v/>
      </c>
      <c r="Q43" s="53" t="str">
        <f>IF(AND('Mapa final'!$AH$23="Baja",'Mapa final'!$AJ$23="Menor"),CONCATENATE("R2C",'Mapa final'!$R$23),"")</f>
        <v/>
      </c>
      <c r="R43" s="54" t="str">
        <f>IF(AND('Mapa final'!$AH$24="Baja",'Mapa final'!$AJ$24="Menor"),CONCATENATE("R2C",'Mapa final'!$R$24),"")</f>
        <v/>
      </c>
      <c r="S43" s="54" t="str">
        <f>IF(AND('Mapa final'!$AH$33="Baja",'Mapa final'!$AJ$33="Menor"),CONCATENATE("R2C",'Mapa final'!$R$33),"")</f>
        <v/>
      </c>
      <c r="T43" s="54" t="str">
        <f>IF(AND('Mapa final'!$AH$34="Baja",'Mapa final'!$AJ$34="Menor"),CONCATENATE("R2C",'Mapa final'!$R$34),"")</f>
        <v/>
      </c>
      <c r="U43" s="54" t="str">
        <f>IF(AND('Mapa final'!$AH$35="Baja",'Mapa final'!$AJ$35="Menor"),CONCATENATE("R2C",'Mapa final'!$R$35),"")</f>
        <v/>
      </c>
      <c r="V43" s="55" t="str">
        <f>IF(AND('Mapa final'!$AH$36="Baja",'Mapa final'!$AJ$36="Menor"),CONCATENATE("R2C",'Mapa final'!$R$36),"")</f>
        <v/>
      </c>
      <c r="W43" s="53" t="str">
        <f>IF(AND('Mapa final'!$AH$23="Baja",'Mapa final'!$AJ$23="Moderado"),CONCATENATE("R2C",'Mapa final'!$R$23),"")</f>
        <v/>
      </c>
      <c r="X43" s="54" t="str">
        <f>IF(AND('Mapa final'!$AH$24="Baja",'Mapa final'!$AJ$24="Moderado"),CONCATENATE("R2C",'Mapa final'!$R$24),"")</f>
        <v/>
      </c>
      <c r="Y43" s="54" t="str">
        <f>IF(AND('Mapa final'!$AH$33="Baja",'Mapa final'!$AJ$33="Moderado"),CONCATENATE("R2C",'Mapa final'!$R$33),"")</f>
        <v/>
      </c>
      <c r="Z43" s="54" t="str">
        <f>IF(AND('Mapa final'!$AH$34="Baja",'Mapa final'!$AJ$34="Moderado"),CONCATENATE("R2C",'Mapa final'!$R$34),"")</f>
        <v/>
      </c>
      <c r="AA43" s="54" t="str">
        <f>IF(AND('Mapa final'!$AH$35="Baja",'Mapa final'!$AJ$35="Moderado"),CONCATENATE("R2C",'Mapa final'!$R$35),"")</f>
        <v/>
      </c>
      <c r="AB43" s="55" t="str">
        <f>IF(AND('Mapa final'!$AH$36="Baja",'Mapa final'!$AJ$36="Moderado"),CONCATENATE("R2C",'Mapa final'!$R$36),"")</f>
        <v/>
      </c>
      <c r="AC43" s="38" t="str">
        <f>IF(AND('Mapa final'!$AH$23="Baja",'Mapa final'!$AJ$23="Mayor"),CONCATENATE("R2C",'Mapa final'!$R$23),"")</f>
        <v/>
      </c>
      <c r="AD43" s="39" t="str">
        <f>IF(AND('Mapa final'!$AH$24="Baja",'Mapa final'!$AJ$24="Mayor"),CONCATENATE("R2C",'Mapa final'!$R$24),"")</f>
        <v/>
      </c>
      <c r="AE43" s="39" t="str">
        <f>IF(AND('Mapa final'!$AH$33="Baja",'Mapa final'!$AJ$33="Mayor"),CONCATENATE("R2C",'Mapa final'!$R$33),"")</f>
        <v/>
      </c>
      <c r="AF43" s="39" t="str">
        <f>IF(AND('Mapa final'!$AH$34="Baja",'Mapa final'!$AJ$34="Mayor"),CONCATENATE("R2C",'Mapa final'!$R$34),"")</f>
        <v/>
      </c>
      <c r="AG43" s="39" t="str">
        <f>IF(AND('Mapa final'!$AH$35="Baja",'Mapa final'!$AJ$35="Mayor"),CONCATENATE("R2C",'Mapa final'!$R$35),"")</f>
        <v/>
      </c>
      <c r="AH43" s="40" t="str">
        <f>IF(AND('Mapa final'!$AH$36="Baja",'Mapa final'!$AJ$36="Mayor"),CONCATENATE("R2C",'Mapa final'!$R$36),"")</f>
        <v/>
      </c>
      <c r="AI43" s="41" t="str">
        <f>IF(AND('Mapa final'!$AH$23="Baja",'Mapa final'!$AJ$23="Catastrófico"),CONCATENATE("R2C",'Mapa final'!$R$23),"")</f>
        <v/>
      </c>
      <c r="AJ43" s="42" t="str">
        <f>IF(AND('Mapa final'!$AH$24="Baja",'Mapa final'!$AJ$24="Catastrófico"),CONCATENATE("R2C",'Mapa final'!$R$24),"")</f>
        <v/>
      </c>
      <c r="AK43" s="42" t="str">
        <f>IF(AND('Mapa final'!$AH$33="Baja",'Mapa final'!$AJ$33="Catastrófico"),CONCATENATE("R2C",'Mapa final'!$R$33),"")</f>
        <v/>
      </c>
      <c r="AL43" s="42" t="str">
        <f>IF(AND('Mapa final'!$AH$34="Baja",'Mapa final'!$AJ$34="Catastrófico"),CONCATENATE("R2C",'Mapa final'!$R$34),"")</f>
        <v/>
      </c>
      <c r="AM43" s="42" t="str">
        <f>IF(AND('Mapa final'!$AH$35="Baja",'Mapa final'!$AJ$35="Catastrófico"),CONCATENATE("R2C",'Mapa final'!$R$35),"")</f>
        <v/>
      </c>
      <c r="AN43" s="43" t="str">
        <f>IF(AND('Mapa final'!$AH$36="Baja",'Mapa final'!$AJ$36="Catastrófico"),CONCATENATE("R2C",'Mapa final'!$R$36),"")</f>
        <v/>
      </c>
      <c r="AO43" s="68"/>
      <c r="AP43" s="618"/>
      <c r="AQ43" s="619"/>
      <c r="AR43" s="619"/>
      <c r="AS43" s="619"/>
      <c r="AT43" s="619"/>
      <c r="AU43" s="620"/>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c r="B44" s="68"/>
      <c r="C44" s="497"/>
      <c r="D44" s="497"/>
      <c r="E44" s="498"/>
      <c r="F44" s="587"/>
      <c r="G44" s="588"/>
      <c r="H44" s="588"/>
      <c r="I44" s="588"/>
      <c r="J44" s="588"/>
      <c r="K44" s="62" t="str">
        <f>IF(AND('Mapa final'!$AH$37="Baja",'Mapa final'!$AJ$37="Leve"),CONCATENATE("R2C",'Mapa final'!$R$37),"")</f>
        <v/>
      </c>
      <c r="L44" s="63" t="str">
        <f>IF(AND('Mapa final'!$AH$38="Baja",'Mapa final'!$AJ$38="Leve"),CONCATENATE("R2C",'Mapa final'!$R$38),"")</f>
        <v/>
      </c>
      <c r="M44" s="63" t="str">
        <f>IF(AND('Mapa final'!$AH$39="Baja",'Mapa final'!$AJ$39="Leve"),CONCATENATE("R2C",'Mapa final'!$R$39),"")</f>
        <v/>
      </c>
      <c r="N44" s="63" t="str">
        <f>IF(AND('Mapa final'!$AH$40="Baja",'Mapa final'!$AJ$40="Leve"),CONCATENATE("R2C",'Mapa final'!$R$40),"")</f>
        <v/>
      </c>
      <c r="O44" s="63" t="str">
        <f>IF(AND('Mapa final'!$AH$41="Baja",'Mapa final'!$AJ$41="Leve"),CONCATENATE("R2C",'Mapa final'!$R$41),"")</f>
        <v/>
      </c>
      <c r="P44" s="64" t="str">
        <f>IF(AND('Mapa final'!$AH$42="Baja",'Mapa final'!$AJ$42="Leve"),CONCATENATE("R2C",'Mapa final'!$R$42),"")</f>
        <v/>
      </c>
      <c r="Q44" s="53" t="str">
        <f>IF(AND('Mapa final'!$AH$37="Baja",'Mapa final'!$AJ$37="Menor"),CONCATENATE("R2C",'Mapa final'!$R$37),"")</f>
        <v/>
      </c>
      <c r="R44" s="54" t="str">
        <f>IF(AND('Mapa final'!$AH$38="Baja",'Mapa final'!$AJ$38="Menor"),CONCATENATE("R2C",'Mapa final'!$R$38),"")</f>
        <v/>
      </c>
      <c r="S44" s="54" t="str">
        <f>IF(AND('Mapa final'!$AH$39="Baja",'Mapa final'!$AJ$39="Menor"),CONCATENATE("R2C",'Mapa final'!$R$39),"")</f>
        <v/>
      </c>
      <c r="T44" s="54" t="str">
        <f>IF(AND('Mapa final'!$AH$40="Baja",'Mapa final'!$AJ$40="Menor"),CONCATENATE("R2C",'Mapa final'!$R$40),"")</f>
        <v/>
      </c>
      <c r="U44" s="54" t="str">
        <f>IF(AND('Mapa final'!$AH$41="Baja",'Mapa final'!$AJ$41="Menor"),CONCATENATE("R2C",'Mapa final'!$R$41),"")</f>
        <v/>
      </c>
      <c r="V44" s="55" t="str">
        <f>IF(AND('Mapa final'!$AH$42="Baja",'Mapa final'!$AJ$42="Menor"),CONCATENATE("R2C",'Mapa final'!$R$42),"")</f>
        <v/>
      </c>
      <c r="W44" s="53" t="str">
        <f>IF(AND('Mapa final'!$AH$37="Baja",'Mapa final'!$AJ$37="Moderado"),CONCATENATE("R2C",'Mapa final'!$R$37),"")</f>
        <v/>
      </c>
      <c r="X44" s="54" t="str">
        <f>IF(AND('Mapa final'!$AH$38="Baja",'Mapa final'!$AJ$38="Moderado"),CONCATENATE("R2C",'Mapa final'!$R$38),"")</f>
        <v/>
      </c>
      <c r="Y44" s="54" t="str">
        <f>IF(AND('Mapa final'!$AH$39="Baja",'Mapa final'!$AJ$39="Moderado"),CONCATENATE("R2C",'Mapa final'!$R$39),"")</f>
        <v/>
      </c>
      <c r="Z44" s="54" t="str">
        <f>IF(AND('Mapa final'!$AH$40="Baja",'Mapa final'!$AJ$40="Moderado"),CONCATENATE("R2C",'Mapa final'!$R$40),"")</f>
        <v/>
      </c>
      <c r="AA44" s="54" t="str">
        <f>IF(AND('Mapa final'!$AH$41="Baja",'Mapa final'!$AJ$41="Moderado"),CONCATENATE("R2C",'Mapa final'!$R$41),"")</f>
        <v/>
      </c>
      <c r="AB44" s="55" t="str">
        <f>IF(AND('Mapa final'!$AH$42="Baja",'Mapa final'!$AJ$42="Moderado"),CONCATENATE("R2C",'Mapa final'!$R$42),"")</f>
        <v/>
      </c>
      <c r="AC44" s="38" t="str">
        <f>IF(AND('Mapa final'!$AH$37="Baja",'Mapa final'!$AJ$37="Mayor"),CONCATENATE("R2C",'Mapa final'!$R$37),"")</f>
        <v/>
      </c>
      <c r="AD44" s="39" t="str">
        <f>IF(AND('Mapa final'!$AH$38="Baja",'Mapa final'!$AJ$38="Mayor"),CONCATENATE("R2C",'Mapa final'!$R$38),"")</f>
        <v/>
      </c>
      <c r="AE44" s="39" t="str">
        <f>IF(AND('Mapa final'!$AH$39="Baja",'Mapa final'!$AJ$39="Mayor"),CONCATENATE("R2C",'Mapa final'!$R$39),"")</f>
        <v/>
      </c>
      <c r="AF44" s="39" t="str">
        <f>IF(AND('Mapa final'!$AH$40="Baja",'Mapa final'!$AJ$40="Mayor"),CONCATENATE("R2C",'Mapa final'!$R$40),"")</f>
        <v/>
      </c>
      <c r="AG44" s="39" t="str">
        <f>IF(AND('Mapa final'!$AH$41="Baja",'Mapa final'!$AJ$41="Mayor"),CONCATENATE("R2C",'Mapa final'!$R$41),"")</f>
        <v/>
      </c>
      <c r="AH44" s="40" t="str">
        <f>IF(AND('Mapa final'!$AH$42="Baja",'Mapa final'!$AJ$42="Mayor"),CONCATENATE("R2C",'Mapa final'!$R$42),"")</f>
        <v/>
      </c>
      <c r="AI44" s="41" t="str">
        <f>IF(AND('Mapa final'!$AH$37="Baja",'Mapa final'!$AJ$37="Catastrófico"),CONCATENATE("R2C",'Mapa final'!$R$37),"")</f>
        <v/>
      </c>
      <c r="AJ44" s="42" t="str">
        <f>IF(AND('Mapa final'!$AH$38="Baja",'Mapa final'!$AJ$38="Catastrófico"),CONCATENATE("R2C",'Mapa final'!$R$38),"")</f>
        <v/>
      </c>
      <c r="AK44" s="42" t="str">
        <f>IF(AND('Mapa final'!$AH$39="Baja",'Mapa final'!$AJ$39="Catastrófico"),CONCATENATE("R2C",'Mapa final'!$R$39),"")</f>
        <v/>
      </c>
      <c r="AL44" s="42" t="str">
        <f>IF(AND('Mapa final'!$AH$40="Baja",'Mapa final'!$AJ$40="Catastrófico"),CONCATENATE("R2C",'Mapa final'!$R$40),"")</f>
        <v/>
      </c>
      <c r="AM44" s="42" t="str">
        <f>IF(AND('Mapa final'!$AH$41="Baja",'Mapa final'!$AJ$41="Catastrófico"),CONCATENATE("R2C",'Mapa final'!$R$41),"")</f>
        <v/>
      </c>
      <c r="AN44" s="43" t="str">
        <f>IF(AND('Mapa final'!$AH$42="Baja",'Mapa final'!$AJ$42="Catastrófico"),CONCATENATE("R2C",'Mapa final'!$R$42),"")</f>
        <v/>
      </c>
      <c r="AO44" s="68"/>
      <c r="AP44" s="618"/>
      <c r="AQ44" s="619"/>
      <c r="AR44" s="619"/>
      <c r="AS44" s="619"/>
      <c r="AT44" s="619"/>
      <c r="AU44" s="620"/>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c r="B45" s="68"/>
      <c r="C45" s="497"/>
      <c r="D45" s="497"/>
      <c r="E45" s="498"/>
      <c r="F45" s="587"/>
      <c r="G45" s="588"/>
      <c r="H45" s="588"/>
      <c r="I45" s="588"/>
      <c r="J45" s="588"/>
      <c r="K45" s="62" t="str">
        <f>IF(AND('Mapa final'!$AH$43="Baja",'Mapa final'!$AJ$43="Leve"),CONCATENATE("R2C",'Mapa final'!$R$43),"")</f>
        <v/>
      </c>
      <c r="L45" s="63" t="str">
        <f>IF(AND('Mapa final'!$AH$44="Baja",'Mapa final'!$AJ$44="Leve"),CONCATENATE("R2C",'Mapa final'!$R$44),"")</f>
        <v/>
      </c>
      <c r="M45" s="63" t="str">
        <f>IF(AND('Mapa final'!$AH$45="Baja",'Mapa final'!$AJ$45="Leve"),CONCATENATE("R2C",'Mapa final'!$R$45),"")</f>
        <v/>
      </c>
      <c r="N45" s="63" t="str">
        <f>IF(AND('Mapa final'!$AH$46="Baja",'Mapa final'!$AJ$46="Leve"),CONCATENATE("R2C",'Mapa final'!$R$46),"")</f>
        <v/>
      </c>
      <c r="O45" s="63" t="str">
        <f>IF(AND('Mapa final'!$AH$47="Baja",'Mapa final'!$AJ$47="Leve"),CONCATENATE("R2C",'Mapa final'!$R$47),"")</f>
        <v/>
      </c>
      <c r="P45" s="64" t="str">
        <f>IF(AND('Mapa final'!$AH$48="Baja",'Mapa final'!$AJ$48="Leve"),CONCATENATE("R2C",'Mapa final'!$R$48),"")</f>
        <v/>
      </c>
      <c r="Q45" s="53" t="str">
        <f>IF(AND('Mapa final'!$AH$43="Baja",'Mapa final'!$AJ$43="Menor"),CONCATENATE("R2C",'Mapa final'!$R$43),"")</f>
        <v/>
      </c>
      <c r="R45" s="54" t="str">
        <f>IF(AND('Mapa final'!$AH$44="Baja",'Mapa final'!$AJ$44="Menor"),CONCATENATE("R2C",'Mapa final'!$R$44),"")</f>
        <v/>
      </c>
      <c r="S45" s="54" t="str">
        <f>IF(AND('Mapa final'!$AH$45="Baja",'Mapa final'!$AJ$45="Menor"),CONCATENATE("R2C",'Mapa final'!$R$45),"")</f>
        <v/>
      </c>
      <c r="T45" s="54" t="str">
        <f>IF(AND('Mapa final'!$AH$46="Baja",'Mapa final'!$AJ$46="Menor"),CONCATENATE("R2C",'Mapa final'!$R$46),"")</f>
        <v/>
      </c>
      <c r="U45" s="54" t="str">
        <f>IF(AND('Mapa final'!$AH$47="Baja",'Mapa final'!$AJ$47="LMenor"),CONCATENATE("R2C",'Mapa final'!$R$47),"")</f>
        <v/>
      </c>
      <c r="V45" s="55" t="str">
        <f>IF(AND('Mapa final'!$AH$48="Baja",'Mapa final'!$AJ$48="Menor"),CONCATENATE("R2C",'Mapa final'!$R$48),"")</f>
        <v/>
      </c>
      <c r="W45" s="53" t="str">
        <f>IF(AND('Mapa final'!$AH$43="Baja",'Mapa final'!$AJ$43="Moderado"),CONCATENATE("R2C",'Mapa final'!$R$43),"")</f>
        <v/>
      </c>
      <c r="X45" s="54" t="str">
        <f>IF(AND('Mapa final'!$AH$44="Baja",'Mapa final'!$AJ$44="Moderado"),CONCATENATE("R2C",'Mapa final'!$R$44),"")</f>
        <v/>
      </c>
      <c r="Y45" s="54" t="str">
        <f>IF(AND('Mapa final'!$AH$45="Baja",'Mapa final'!$AJ$45="Moderado"),CONCATENATE("R2C",'Mapa final'!$R$45),"")</f>
        <v/>
      </c>
      <c r="Z45" s="54" t="str">
        <f>IF(AND('Mapa final'!$AH$46="Baja",'Mapa final'!$AJ$46="Moderado"),CONCATENATE("R2C",'Mapa final'!$R$46),"")</f>
        <v/>
      </c>
      <c r="AA45" s="54" t="str">
        <f>IF(AND('Mapa final'!$AH$47="Baja",'Mapa final'!$AJ$47="Moderado"),CONCATENATE("R2C",'Mapa final'!$R$47),"")</f>
        <v/>
      </c>
      <c r="AB45" s="55" t="str">
        <f>IF(AND('Mapa final'!$AH$48="Baja",'Mapa final'!$AJ$48="Moderado"),CONCATENATE("R2C",'Mapa final'!$R$48),"")</f>
        <v/>
      </c>
      <c r="AC45" s="38" t="str">
        <f>IF(AND('Mapa final'!$AH$43="Baja",'Mapa final'!$AJ$43="Mayor"),CONCATENATE("R2C",'Mapa final'!$R$43),"")</f>
        <v/>
      </c>
      <c r="AD45" s="39" t="str">
        <f>IF(AND('Mapa final'!$AH$44="Baja",'Mapa final'!$AJ$44="Mayor"),CONCATENATE("R2C",'Mapa final'!$R$44),"")</f>
        <v/>
      </c>
      <c r="AE45" s="39" t="str">
        <f>IF(AND('Mapa final'!$AH$45="Baja",'Mapa final'!$AJ$45="Mayor"),CONCATENATE("R2C",'Mapa final'!$R$45),"")</f>
        <v/>
      </c>
      <c r="AF45" s="39" t="str">
        <f>IF(AND('Mapa final'!$AH$46="Baja",'Mapa final'!$AJ$46="Mayor"),CONCATENATE("R2C",'Mapa final'!$R$46),"")</f>
        <v/>
      </c>
      <c r="AG45" s="39" t="str">
        <f>IF(AND('Mapa final'!$AH$47="Baja",'Mapa final'!$AJ$47="Mayor"),CONCATENATE("R2C",'Mapa final'!$R$47),"")</f>
        <v/>
      </c>
      <c r="AH45" s="40" t="str">
        <f>IF(AND('Mapa final'!$AH$48="Baja",'Mapa final'!$AJ$48="Mayor"),CONCATENATE("R2C",'Mapa final'!$R$48),"")</f>
        <v/>
      </c>
      <c r="AI45" s="41" t="str">
        <f>IF(AND('Mapa final'!$AH$43="Baja",'Mapa final'!$AJ$43="Catastrófico"),CONCATENATE("R2C",'Mapa final'!$R$43),"")</f>
        <v/>
      </c>
      <c r="AJ45" s="42" t="str">
        <f>IF(AND('Mapa final'!$AH$44="Baja",'Mapa final'!$AJ$44="Catastrófico"),CONCATENATE("R2C",'Mapa final'!$R$44),"")</f>
        <v/>
      </c>
      <c r="AK45" s="42" t="str">
        <f>IF(AND('Mapa final'!$AH$45="Baja",'Mapa final'!$AJ$45="Catastrófico"),CONCATENATE("R2C",'Mapa final'!$R$45),"")</f>
        <v/>
      </c>
      <c r="AL45" s="42" t="str">
        <f>IF(AND('Mapa final'!$AH$46="Baja",'Mapa final'!$AJ$46="Catastrófico"),CONCATENATE("R2C",'Mapa final'!$R$46),"")</f>
        <v/>
      </c>
      <c r="AM45" s="42" t="str">
        <f>IF(AND('Mapa final'!$AH$47="Baja",'Mapa final'!$AJ$47="LCatastrófico"),CONCATENATE("R2C",'Mapa final'!$R$47),"")</f>
        <v/>
      </c>
      <c r="AN45" s="43" t="str">
        <f>IF(AND('Mapa final'!$AH$48="Baja",'Mapa final'!$AJ$48="Catastrófico"),CONCATENATE("R2C",'Mapa final'!$R$48),"")</f>
        <v/>
      </c>
      <c r="AO45" s="68"/>
      <c r="AP45" s="618"/>
      <c r="AQ45" s="619"/>
      <c r="AR45" s="619"/>
      <c r="AS45" s="619"/>
      <c r="AT45" s="619"/>
      <c r="AU45" s="620"/>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c r="B46" s="68"/>
      <c r="C46" s="497"/>
      <c r="D46" s="497"/>
      <c r="E46" s="498"/>
      <c r="F46" s="587"/>
      <c r="G46" s="588"/>
      <c r="H46" s="588"/>
      <c r="I46" s="588"/>
      <c r="J46" s="588"/>
      <c r="K46" s="62" t="str">
        <f>IF(AND('Mapa final'!$AH$49="Baja",'Mapa final'!$AJ$49="Leve"),CONCATENATE("R2C",'Mapa final'!$R$49),"")</f>
        <v/>
      </c>
      <c r="L46" s="63" t="str">
        <f>IF(AND('Mapa final'!$AH$50="Baja",'Mapa final'!$AJ$50="Leve"),CONCATENATE("R2C",'Mapa final'!$R$50),"")</f>
        <v/>
      </c>
      <c r="M46" s="63" t="str">
        <f>IF(AND('Mapa final'!$AH$51="Baja",'Mapa final'!$AJ$51="Leve"),CONCATENATE("R2C",'Mapa final'!$R$51),"")</f>
        <v/>
      </c>
      <c r="N46" s="63" t="str">
        <f>IF(AND('Mapa final'!$AH$52="Baja",'Mapa final'!$AJ$52="Leve"),CONCATENATE("R2C",'Mapa final'!$R$52),"")</f>
        <v/>
      </c>
      <c r="O46" s="63" t="str">
        <f>IF(AND('Mapa final'!$AH$53="Baja",'Mapa final'!$AJ$53="Leve"),CONCATENATE("R2C",'Mapa final'!$R$53),"")</f>
        <v/>
      </c>
      <c r="P46" s="64" t="str">
        <f>IF(AND('Mapa final'!$AH$54="Baja",'Mapa final'!$AJ$54="Leve"),CONCATENATE("R2C",'Mapa final'!$R$54),"")</f>
        <v/>
      </c>
      <c r="Q46" s="53" t="str">
        <f>IF(AND('Mapa final'!$AH$49="Baja",'Mapa final'!$AJ$49="Menor"),CONCATENATE("R2C",'Mapa final'!$R$49),"")</f>
        <v/>
      </c>
      <c r="R46" s="54" t="str">
        <f>IF(AND('Mapa final'!$AH$50="Baja",'Mapa final'!$AJ$50="Menor"),CONCATENATE("R2C",'Mapa final'!$R$50),"")</f>
        <v/>
      </c>
      <c r="S46" s="54" t="str">
        <f>IF(AND('Mapa final'!$AH$51="Baja",'Mapa final'!$AJ$51="Menor"),CONCATENATE("R2C",'Mapa final'!$R$51),"")</f>
        <v/>
      </c>
      <c r="T46" s="54" t="str">
        <f>IF(AND('Mapa final'!$AH$52="Baja",'Mapa final'!$AJ$52="Menor"),CONCATENATE("R2C",'Mapa final'!$R$52),"")</f>
        <v/>
      </c>
      <c r="U46" s="54" t="str">
        <f>IF(AND('Mapa final'!$AH$53="Baja",'Mapa final'!$AJ$53="Menor"),CONCATENATE("R2C",'Mapa final'!$R$53),"")</f>
        <v/>
      </c>
      <c r="V46" s="55" t="str">
        <f>IF(AND('Mapa final'!$AH$54="Baja",'Mapa final'!$AJ$54="Menor"),CONCATENATE("R2C",'Mapa final'!$R$54),"")</f>
        <v/>
      </c>
      <c r="W46" s="53" t="str">
        <f>IF(AND('Mapa final'!$AH$49="Baja",'Mapa final'!$AJ$49="Moderado"),CONCATENATE("R2C",'Mapa final'!$R$49),"")</f>
        <v/>
      </c>
      <c r="X46" s="54" t="str">
        <f>IF(AND('Mapa final'!$AH$50="Baja",'Mapa final'!$AJ$50="Moderado"),CONCATENATE("R2C",'Mapa final'!$R$50),"")</f>
        <v/>
      </c>
      <c r="Y46" s="54" t="str">
        <f>IF(AND('Mapa final'!$AH$51="Baja",'Mapa final'!$AJ$51="Moderado"),CONCATENATE("R2C",'Mapa final'!$R$51),"")</f>
        <v/>
      </c>
      <c r="Z46" s="54" t="str">
        <f>IF(AND('Mapa final'!$AH$52="Baja",'Mapa final'!$AJ$52="Moderado"),CONCATENATE("R2C",'Mapa final'!$R$52),"")</f>
        <v/>
      </c>
      <c r="AA46" s="54" t="str">
        <f>IF(AND('Mapa final'!$AH$53="Baja",'Mapa final'!$AJ$53="Moderado"),CONCATENATE("R2C",'Mapa final'!$R$53),"")</f>
        <v/>
      </c>
      <c r="AB46" s="55" t="str">
        <f>IF(AND('Mapa final'!$AH$54="Baja",'Mapa final'!$AJ$54="Moderado"),CONCATENATE("R2C",'Mapa final'!$R$54),"")</f>
        <v/>
      </c>
      <c r="AC46" s="38" t="str">
        <f>IF(AND('Mapa final'!$AH$49="Baja",'Mapa final'!$AJ$49="Mayor"),CONCATENATE("R2C",'Mapa final'!$R$49),"")</f>
        <v/>
      </c>
      <c r="AD46" s="39" t="str">
        <f>IF(AND('Mapa final'!$AH$50="Baja",'Mapa final'!$AJ$50="Mayor"),CONCATENATE("R2C",'Mapa final'!$R$50),"")</f>
        <v/>
      </c>
      <c r="AE46" s="39" t="str">
        <f>IF(AND('Mapa final'!$AH$51="Baja",'Mapa final'!$AJ$51="Mayor"),CONCATENATE("R2C",'Mapa final'!$R$51),"")</f>
        <v/>
      </c>
      <c r="AF46" s="39" t="str">
        <f>IF(AND('Mapa final'!$AH$52="Baja",'Mapa final'!$AJ$52="Mayor"),CONCATENATE("R2C",'Mapa final'!$R$52),"")</f>
        <v/>
      </c>
      <c r="AG46" s="39" t="str">
        <f>IF(AND('Mapa final'!$AH$53="Baja",'Mapa final'!$AJ$53="Mayor"),CONCATENATE("R2C",'Mapa final'!$R$53),"")</f>
        <v/>
      </c>
      <c r="AH46" s="40" t="str">
        <f>IF(AND('Mapa final'!$AH$54="Baja",'Mapa final'!$AJ$54="Mayor"),CONCATENATE("R2C",'Mapa final'!$R$54),"")</f>
        <v/>
      </c>
      <c r="AI46" s="41" t="str">
        <f>IF(AND('Mapa final'!$AH$49="Baja",'Mapa final'!$AJ$49="Catastrófico"),CONCATENATE("R2C",'Mapa final'!$R$49),"")</f>
        <v/>
      </c>
      <c r="AJ46" s="42" t="str">
        <f>IF(AND('Mapa final'!$AH$50="Baja",'Mapa final'!$AJ$50="Catastrófico"),CONCATENATE("R2C",'Mapa final'!$R$50),"")</f>
        <v/>
      </c>
      <c r="AK46" s="42" t="str">
        <f>IF(AND('Mapa final'!$AH$51="Baja",'Mapa final'!$AJ$51="Catastrófico"),CONCATENATE("R2C",'Mapa final'!$R$51),"")</f>
        <v/>
      </c>
      <c r="AL46" s="42" t="str">
        <f>IF(AND('Mapa final'!$AH$52="Baja",'Mapa final'!$AJ$52="Catastrófico"),CONCATENATE("R2C",'Mapa final'!$R$52),"")</f>
        <v/>
      </c>
      <c r="AM46" s="42" t="str">
        <f>IF(AND('Mapa final'!$AH$53="Baja",'Mapa final'!$AJ$53="Catastrófico"),CONCATENATE("R2C",'Mapa final'!$R$53),"")</f>
        <v/>
      </c>
      <c r="AN46" s="43" t="str">
        <f>IF(AND('Mapa final'!$AH$54="Baja",'Mapa final'!$AJ$54="Catastrófico"),CONCATENATE("R2C",'Mapa final'!$R$54),"")</f>
        <v/>
      </c>
      <c r="AO46" s="68"/>
      <c r="AP46" s="618"/>
      <c r="AQ46" s="619"/>
      <c r="AR46" s="619"/>
      <c r="AS46" s="619"/>
      <c r="AT46" s="619"/>
      <c r="AU46" s="620"/>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c r="B47" s="68"/>
      <c r="C47" s="497"/>
      <c r="D47" s="497"/>
      <c r="E47" s="498"/>
      <c r="F47" s="587"/>
      <c r="G47" s="588"/>
      <c r="H47" s="588"/>
      <c r="I47" s="588"/>
      <c r="J47" s="588"/>
      <c r="K47" s="62" t="str">
        <f>IF(AND('Mapa final'!$AH$55="Baja",'Mapa final'!$AJ$55="Leve"),CONCATENATE("R2C",'Mapa final'!$R$55),"")</f>
        <v/>
      </c>
      <c r="L47" s="63" t="str">
        <f>IF(AND('Mapa final'!$AH$56="Baja",'Mapa final'!$AJ$56="Leve"),CONCATENATE("R2C",'Mapa final'!$R$56),"")</f>
        <v/>
      </c>
      <c r="M47" s="63" t="str">
        <f>IF(AND('Mapa final'!$AH$57="Baja",'Mapa final'!$AJ$57="Leve"),CONCATENATE("R2C",'Mapa final'!$R$57),"")</f>
        <v/>
      </c>
      <c r="N47" s="63" t="str">
        <f>IF(AND('Mapa final'!$AH$58="Baja",'Mapa final'!$AJ$58="Leve"),CONCATENATE("R2C",'Mapa final'!$R$58),"")</f>
        <v/>
      </c>
      <c r="O47" s="63" t="str">
        <f>IF(AND('Mapa final'!$AH$59="Baja",'Mapa final'!$AJ$59="Leve"),CONCATENATE("R2C",'Mapa final'!$R$59),"")</f>
        <v/>
      </c>
      <c r="P47" s="64" t="str">
        <f>IF(AND('Mapa final'!$AH$70="Baja",'Mapa final'!$AJ$60="Leve"),CONCATENATE("R2C",'Mapa final'!$R$60),"")</f>
        <v/>
      </c>
      <c r="Q47" s="53" t="str">
        <f>IF(AND('Mapa final'!$AH$55="Baja",'Mapa final'!$AJ$55="Menor"),CONCATENATE("R2C",'Mapa final'!$R$55),"")</f>
        <v/>
      </c>
      <c r="R47" s="54" t="str">
        <f>IF(AND('Mapa final'!$AH$56="Baja",'Mapa final'!$AJ$56="Menor"),CONCATENATE("R2C",'Mapa final'!$R$56),"")</f>
        <v/>
      </c>
      <c r="S47" s="54" t="str">
        <f>IF(AND('Mapa final'!$AH$57="Baja",'Mapa final'!$AJ$57="Menor"),CONCATENATE("R2C",'Mapa final'!$R$57),"")</f>
        <v/>
      </c>
      <c r="T47" s="54" t="str">
        <f>IF(AND('Mapa final'!$AH$58="Baja",'Mapa final'!$AJ$58="Menor"),CONCATENATE("R2C",'Mapa final'!$R$58),"")</f>
        <v/>
      </c>
      <c r="U47" s="54" t="str">
        <f>IF(AND('Mapa final'!$AH$59="Baja",'Mapa final'!$AJ$59="Menor"),CONCATENATE("R2C",'Mapa final'!$R$59),"")</f>
        <v/>
      </c>
      <c r="V47" s="55" t="str">
        <f>IF(AND('Mapa final'!$AH$70="Baja",'Mapa final'!$AJ$60="Menor"),CONCATENATE("R2C",'Mapa final'!$R$60),"")</f>
        <v/>
      </c>
      <c r="W47" s="53" t="str">
        <f>IF(AND('Mapa final'!$AH$55="Baja",'Mapa final'!$AJ$55="Moderado"),CONCATENATE("R2C",'Mapa final'!$R$55),"")</f>
        <v/>
      </c>
      <c r="X47" s="54" t="str">
        <f>IF(AND('Mapa final'!$AH$56="Baja",'Mapa final'!$AJ$56="Moderado"),CONCATENATE("R2C",'Mapa final'!$R$56),"")</f>
        <v/>
      </c>
      <c r="Y47" s="54" t="str">
        <f>IF(AND('Mapa final'!$AH$57="Baja",'Mapa final'!$AJ$57="Moderado"),CONCATENATE("R2C",'Mapa final'!$R$57),"")</f>
        <v/>
      </c>
      <c r="Z47" s="54" t="str">
        <f>IF(AND('Mapa final'!$AH$58="Baja",'Mapa final'!$AJ$58="Moderado"),CONCATENATE("R2C",'Mapa final'!$R$58),"")</f>
        <v/>
      </c>
      <c r="AA47" s="54" t="str">
        <f>IF(AND('Mapa final'!$AH$59="Baja",'Mapa final'!$AJ$59="Moderado"),CONCATENATE("R2C",'Mapa final'!$R$59),"")</f>
        <v/>
      </c>
      <c r="AB47" s="55" t="str">
        <f>IF(AND('Mapa final'!$AH$70="Baja",'Mapa final'!$AJ$60="Moderado"),CONCATENATE("R2C",'Mapa final'!$R$60),"")</f>
        <v/>
      </c>
      <c r="AC47" s="38" t="str">
        <f>IF(AND('Mapa final'!$AH$55="Baja",'Mapa final'!$AJ$55="Mayor"),CONCATENATE("R2C",'Mapa final'!$R$55),"")</f>
        <v/>
      </c>
      <c r="AD47" s="39" t="str">
        <f>IF(AND('Mapa final'!$AH$56="Baja",'Mapa final'!$AJ$56="Mayor"),CONCATENATE("R2C",'Mapa final'!$R$56),"")</f>
        <v/>
      </c>
      <c r="AE47" s="39" t="str">
        <f>IF(AND('Mapa final'!$AH$57="Baja",'Mapa final'!$AJ$57="Mayor"),CONCATENATE("R2C",'Mapa final'!$R$57),"")</f>
        <v/>
      </c>
      <c r="AF47" s="39" t="str">
        <f>IF(AND('Mapa final'!$AH$58="Baja",'Mapa final'!$AJ$58="Mayor"),CONCATENATE("R2C",'Mapa final'!$R$58),"")</f>
        <v/>
      </c>
      <c r="AG47" s="39" t="str">
        <f>IF(AND('Mapa final'!$AH$59="Baja",'Mapa final'!$AJ$59="Mayor"),CONCATENATE("R2C",'Mapa final'!$R$59),"")</f>
        <v/>
      </c>
      <c r="AH47" s="40" t="str">
        <f>IF(AND('Mapa final'!$AH$70="Baja",'Mapa final'!$AJ$60="Mayor"),CONCATENATE("R2C",'Mapa final'!$R$60),"")</f>
        <v/>
      </c>
      <c r="AI47" s="41" t="str">
        <f>IF(AND('Mapa final'!$AH$55="Baja",'Mapa final'!$AJ$55="Catastrófico"),CONCATENATE("R2C",'Mapa final'!$R$55),"")</f>
        <v/>
      </c>
      <c r="AJ47" s="42" t="str">
        <f>IF(AND('Mapa final'!$AH$56="Baja",'Mapa final'!$AJ$56="Catastrófico"),CONCATENATE("R2C",'Mapa final'!$R$56),"")</f>
        <v/>
      </c>
      <c r="AK47" s="42" t="str">
        <f>IF(AND('Mapa final'!$AH$57="Baja",'Mapa final'!$AJ$57="Catastrófico"),CONCATENATE("R2C",'Mapa final'!$R$57),"")</f>
        <v/>
      </c>
      <c r="AL47" s="42" t="str">
        <f>IF(AND('Mapa final'!$AH$58="Baja",'Mapa final'!$AJ$58="Catastrófico"),CONCATENATE("R2C",'Mapa final'!$R$58),"")</f>
        <v/>
      </c>
      <c r="AM47" s="42" t="str">
        <f>IF(AND('Mapa final'!$AH$59="Baja",'Mapa final'!$AJ$59="Catastrófico"),CONCATENATE("R2C",'Mapa final'!$R$59),"")</f>
        <v/>
      </c>
      <c r="AN47" s="43" t="str">
        <f>IF(AND('Mapa final'!$AH$70="Baja",'Mapa final'!$AJ$60="Catastrófico"),CONCATENATE("R2C",'Mapa final'!$R$60),"")</f>
        <v/>
      </c>
      <c r="AO47" s="68"/>
      <c r="AP47" s="618"/>
      <c r="AQ47" s="619"/>
      <c r="AR47" s="619"/>
      <c r="AS47" s="619"/>
      <c r="AT47" s="619"/>
      <c r="AU47" s="620"/>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c r="B48" s="68"/>
      <c r="C48" s="497"/>
      <c r="D48" s="497"/>
      <c r="E48" s="498"/>
      <c r="F48" s="587"/>
      <c r="G48" s="588"/>
      <c r="H48" s="588"/>
      <c r="I48" s="588"/>
      <c r="J48" s="588"/>
      <c r="K48" s="62" t="str">
        <f>IF(AND('Mapa final'!$AH$61="Baja",'Mapa final'!$AJ$61="Leve"),CONCATENATE("R2C",'Mapa final'!$R$61),"")</f>
        <v/>
      </c>
      <c r="L48" s="63" t="str">
        <f>IF(AND('Mapa final'!$AH$62="Baja",'Mapa final'!$AJ$62="Leve"),CONCATENATE("R2C",'Mapa final'!$R$62),"")</f>
        <v/>
      </c>
      <c r="M48" s="63" t="str">
        <f>IF(AND('Mapa final'!$AH$63="Baja",'Mapa final'!$AJ$63="Leve"),CONCATENATE("R2C",'Mapa final'!$R$63),"")</f>
        <v/>
      </c>
      <c r="N48" s="63" t="str">
        <f>IF(AND('Mapa final'!$AH$64="Baja",'Mapa final'!$AJ$64="Leve"),CONCATENATE("R2C",'Mapa final'!$R$64),"")</f>
        <v/>
      </c>
      <c r="O48" s="63" t="str">
        <f>IF(AND('Mapa final'!$AH$65="Baja",'Mapa final'!$AJ$65="Leve"),CONCATENATE("R2C",'Mapa final'!$R$65),"")</f>
        <v/>
      </c>
      <c r="P48" s="64" t="str">
        <f>IF(AND('Mapa final'!$AH$66="Baja",'Mapa final'!$AJ$66="Leve"),CONCATENATE("R2C",'Mapa final'!$R$66),"")</f>
        <v/>
      </c>
      <c r="Q48" s="53" t="str">
        <f>IF(AND('Mapa final'!$AH$61="Baja",'Mapa final'!$AJ$61="Menor"),CONCATENATE("R2C",'Mapa final'!$R$61),"")</f>
        <v/>
      </c>
      <c r="R48" s="54" t="str">
        <f>IF(AND('Mapa final'!$AH$62="Baja",'Mapa final'!$AJ$62="Menor"),CONCATENATE("R2C",'Mapa final'!$R$62),"")</f>
        <v/>
      </c>
      <c r="S48" s="54" t="str">
        <f>IF(AND('Mapa final'!$AH$63="Baja",'Mapa final'!$AJ$63="Menor"),CONCATENATE("R2C",'Mapa final'!$R$63),"")</f>
        <v/>
      </c>
      <c r="T48" s="54" t="str">
        <f>IF(AND('Mapa final'!$AH$64="Baja",'Mapa final'!$AJ$64="Menor"),CONCATENATE("R2C",'Mapa final'!$R$64),"")</f>
        <v/>
      </c>
      <c r="U48" s="54" t="str">
        <f>IF(AND('Mapa final'!$AH$65="Baja",'Mapa final'!$AJ$65="Menor"),CONCATENATE("R2C",'Mapa final'!$R$65),"")</f>
        <v/>
      </c>
      <c r="V48" s="55" t="str">
        <f>IF(AND('Mapa final'!$AH$66="Baja",'Mapa final'!$AJ$66="Menor"),CONCATENATE("R2C",'Mapa final'!$R$66),"")</f>
        <v/>
      </c>
      <c r="W48" s="53" t="str">
        <f>IF(AND('Mapa final'!$AH$61="Baja",'Mapa final'!$AJ$61="Moderado"),CONCATENATE("R2C",'Mapa final'!$R$61),"")</f>
        <v/>
      </c>
      <c r="X48" s="54" t="str">
        <f>IF(AND('Mapa final'!$AH$62="Baja",'Mapa final'!$AJ$62="Moderado"),CONCATENATE("R2C",'Mapa final'!$R$62),"")</f>
        <v/>
      </c>
      <c r="Y48" s="54" t="str">
        <f>IF(AND('Mapa final'!$AH$63="Baja",'Mapa final'!$AJ$63="Moderado"),CONCATENATE("R2C",'Mapa final'!$R$63),"")</f>
        <v/>
      </c>
      <c r="Z48" s="54" t="str">
        <f>IF(AND('Mapa final'!$AH$64="Baja",'Mapa final'!$AJ$64="Moderado"),CONCATENATE("R2C",'Mapa final'!$R$64),"")</f>
        <v/>
      </c>
      <c r="AA48" s="54" t="str">
        <f>IF(AND('Mapa final'!$AH$65="Baja",'Mapa final'!$AJ$65="Moderado"),CONCATENATE("R2C",'Mapa final'!$R$65),"")</f>
        <v/>
      </c>
      <c r="AB48" s="55" t="str">
        <f>IF(AND('Mapa final'!$AH$66="Baja",'Mapa final'!$AJ$66="Moderado"),CONCATENATE("R2C",'Mapa final'!$R$66),"")</f>
        <v/>
      </c>
      <c r="AC48" s="38" t="str">
        <f>IF(AND('Mapa final'!$AH$61="Baja",'Mapa final'!$AJ$61="Mayor"),CONCATENATE("R2C",'Mapa final'!$R$61),"")</f>
        <v/>
      </c>
      <c r="AD48" s="39" t="str">
        <f>IF(AND('Mapa final'!$AH$62="Baja",'Mapa final'!$AJ$62="Mayor"),CONCATENATE("R2C",'Mapa final'!$R$62),"")</f>
        <v/>
      </c>
      <c r="AE48" s="39" t="str">
        <f>IF(AND('Mapa final'!$AH$63="Baja",'Mapa final'!$AJ$63="Mayor"),CONCATENATE("R2C",'Mapa final'!$R$63),"")</f>
        <v/>
      </c>
      <c r="AF48" s="39" t="str">
        <f>IF(AND('Mapa final'!$AH$64="Baja",'Mapa final'!$AJ$64="Mayor"),CONCATENATE("R2C",'Mapa final'!$R$64),"")</f>
        <v/>
      </c>
      <c r="AG48" s="39" t="str">
        <f>IF(AND('Mapa final'!$AH$65="Baja",'Mapa final'!$AJ$65="Mayor"),CONCATENATE("R2C",'Mapa final'!$R$65),"")</f>
        <v/>
      </c>
      <c r="AH48" s="40" t="str">
        <f>IF(AND('Mapa final'!$AH$66="Baja",'Mapa final'!$AJ$66="Mayor"),CONCATENATE("R2C",'Mapa final'!$R$66),"")</f>
        <v/>
      </c>
      <c r="AI48" s="41" t="str">
        <f>IF(AND('Mapa final'!$AH$61="Baja",'Mapa final'!$AJ$61="Catastrófico"),CONCATENATE("R2C",'Mapa final'!$R$61),"")</f>
        <v/>
      </c>
      <c r="AJ48" s="42" t="str">
        <f>IF(AND('Mapa final'!$AH$62="Baja",'Mapa final'!$AJ$62="Catastrófico"),CONCATENATE("R2C",'Mapa final'!$R$62),"")</f>
        <v/>
      </c>
      <c r="AK48" s="42" t="str">
        <f>IF(AND('Mapa final'!$AH$63="Baja",'Mapa final'!$AJ$63="Catastrófico"),CONCATENATE("R2C",'Mapa final'!$R$63),"")</f>
        <v/>
      </c>
      <c r="AL48" s="42" t="str">
        <f>IF(AND('Mapa final'!$AH$64="Baja",'Mapa final'!$AJ$64="Catastrófico"),CONCATENATE("R2C",'Mapa final'!$R$64),"")</f>
        <v/>
      </c>
      <c r="AM48" s="42" t="str">
        <f>IF(AND('Mapa final'!$AH$65="Baja",'Mapa final'!$AJ$65="Catastrófico"),CONCATENATE("R2C",'Mapa final'!$R$65),"")</f>
        <v/>
      </c>
      <c r="AN48" s="43" t="str">
        <f>IF(AND('Mapa final'!$AH$66="Baja",'Mapa final'!$AJ$66="Catastrófico"),CONCATENATE("R2C",'Mapa final'!$R$66),"")</f>
        <v/>
      </c>
      <c r="AO48" s="68"/>
      <c r="AP48" s="618"/>
      <c r="AQ48" s="619"/>
      <c r="AR48" s="619"/>
      <c r="AS48" s="619"/>
      <c r="AT48" s="619"/>
      <c r="AU48" s="620"/>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c r="B49" s="68"/>
      <c r="C49" s="497"/>
      <c r="D49" s="497"/>
      <c r="E49" s="498"/>
      <c r="F49" s="587"/>
      <c r="G49" s="588"/>
      <c r="H49" s="588"/>
      <c r="I49" s="588"/>
      <c r="J49" s="588"/>
      <c r="K49" s="62" t="str">
        <f>IF(AND('Mapa final'!$AH$67="Baja",'Mapa final'!$AJ$67="Leve"),CONCATENATE("R2C",'Mapa final'!$R$67),"")</f>
        <v/>
      </c>
      <c r="L49" s="63" t="str">
        <f>IF(AND('Mapa final'!$AH$68="Baja",'Mapa final'!$AJ$68="Leve"),CONCATENATE("R2C",'Mapa final'!$R$68),"")</f>
        <v/>
      </c>
      <c r="M49" s="63" t="str">
        <f>IF(AND('Mapa final'!$AH$69="Baja",'Mapa final'!$AJ$69="Leve"),CONCATENATE("R2C",'Mapa final'!$R$69),"")</f>
        <v/>
      </c>
      <c r="N49" s="63" t="str">
        <f>IF(AND('Mapa final'!$AH$70="Baja",'Mapa final'!$AJ$70="Leve"),CONCATENATE("R2C",'Mapa final'!$R$70),"")</f>
        <v/>
      </c>
      <c r="O49" s="63" t="str">
        <f>IF(AND('Mapa final'!$AH$71="Baja",'Mapa final'!$AJ$71="Leve"),CONCATENATE("R2C",'Mapa final'!$R$71),"")</f>
        <v/>
      </c>
      <c r="P49" s="64" t="str">
        <f>IF(AND('Mapa final'!$AH$72="Baja",'Mapa final'!$AJ$72="Leve"),CONCATENATE("R2C",'Mapa final'!$R$72),"")</f>
        <v/>
      </c>
      <c r="Q49" s="53" t="str">
        <f>IF(AND('Mapa final'!$AH$67="Baja",'Mapa final'!$AJ$67="Menor"),CONCATENATE("R2C",'Mapa final'!$R$67),"")</f>
        <v/>
      </c>
      <c r="R49" s="54" t="str">
        <f>IF(AND('Mapa final'!$AH$68="Baja",'Mapa final'!$AJ$68="Menor"),CONCATENATE("R2C",'Mapa final'!$R$68),"")</f>
        <v/>
      </c>
      <c r="S49" s="54" t="str">
        <f>IF(AND('Mapa final'!$AH$69="Baja",'Mapa final'!$AJ$69="Menor"),CONCATENATE("R2C",'Mapa final'!$R$69),"")</f>
        <v/>
      </c>
      <c r="T49" s="54" t="str">
        <f>IF(AND('Mapa final'!$AH$70="Baja",'Mapa final'!$AJ$70="Menor"),CONCATENATE("R2C",'Mapa final'!$R$70),"")</f>
        <v/>
      </c>
      <c r="U49" s="54" t="str">
        <f>IF(AND('Mapa final'!$AH$71="Baja",'Mapa final'!$AJ$71="Menor"),CONCATENATE("R2C",'Mapa final'!$R$71),"")</f>
        <v/>
      </c>
      <c r="V49" s="55" t="str">
        <f>IF(AND('Mapa final'!$AH$72="Baja",'Mapa final'!$AJ$72="Menor"),CONCATENATE("R2C",'Mapa final'!$R$72),"")</f>
        <v/>
      </c>
      <c r="W49" s="53" t="str">
        <f>IF(AND('Mapa final'!$AH$67="Baja",'Mapa final'!$AJ$67="Moderado"),CONCATENATE("R2C",'Mapa final'!$R$67),"")</f>
        <v/>
      </c>
      <c r="X49" s="54" t="str">
        <f>IF(AND('Mapa final'!$AH$68="Baja",'Mapa final'!$AJ$68="Moderado"),CONCATENATE("R2C",'Mapa final'!$R$68),"")</f>
        <v/>
      </c>
      <c r="Y49" s="54" t="str">
        <f>IF(AND('Mapa final'!$AH$69="Baja",'Mapa final'!$AJ$69="Moderado"),CONCATENATE("R2C",'Mapa final'!$R$69),"")</f>
        <v/>
      </c>
      <c r="Z49" s="54" t="str">
        <f>IF(AND('Mapa final'!$AH$70="Baja",'Mapa final'!$AJ$70="Moderado"),CONCATENATE("R2C",'Mapa final'!$R$70),"")</f>
        <v/>
      </c>
      <c r="AA49" s="54" t="str">
        <f>IF(AND('Mapa final'!$AH$71="Baja",'Mapa final'!$AJ$71="Moderado"),CONCATENATE("R2C",'Mapa final'!$R$71),"")</f>
        <v/>
      </c>
      <c r="AB49" s="55" t="str">
        <f>IF(AND('Mapa final'!$AH$72="Baja",'Mapa final'!$AJ$72="Moderado"),CONCATENATE("R2C",'Mapa final'!$R$72),"")</f>
        <v/>
      </c>
      <c r="AC49" s="38" t="str">
        <f>IF(AND('Mapa final'!$AH$67="Baja",'Mapa final'!$AJ$67="Mayor"),CONCATENATE("R2C",'Mapa final'!$R$67),"")</f>
        <v/>
      </c>
      <c r="AD49" s="39" t="str">
        <f>IF(AND('Mapa final'!$AH$68="Baja",'Mapa final'!$AJ$68="Mayor"),CONCATENATE("R2C",'Mapa final'!$R$68),"")</f>
        <v/>
      </c>
      <c r="AE49" s="39" t="str">
        <f>IF(AND('Mapa final'!$AH$69="Baja",'Mapa final'!$AJ$69="Mayor"),CONCATENATE("R2C",'Mapa final'!$R$69),"")</f>
        <v/>
      </c>
      <c r="AF49" s="39" t="str">
        <f>IF(AND('Mapa final'!$AH$70="Baja",'Mapa final'!$AJ$70="Mayor"),CONCATENATE("R2C",'Mapa final'!$R$70),"")</f>
        <v/>
      </c>
      <c r="AG49" s="39" t="str">
        <f>IF(AND('Mapa final'!$AH$71="Baja",'Mapa final'!$AJ$71="Mayor"),CONCATENATE("R2C",'Mapa final'!$R$71),"")</f>
        <v/>
      </c>
      <c r="AH49" s="40" t="str">
        <f>IF(AND('Mapa final'!$AH$72="Baja",'Mapa final'!$AJ$72="Mayor"),CONCATENATE("R2C",'Mapa final'!$R$72),"")</f>
        <v/>
      </c>
      <c r="AI49" s="41" t="str">
        <f>IF(AND('Mapa final'!$AH$67="Baja",'Mapa final'!$AJ$67="Catastrófico"),CONCATENATE("R2C",'Mapa final'!$R$67),"")</f>
        <v/>
      </c>
      <c r="AJ49" s="42" t="str">
        <f>IF(AND('Mapa final'!$AH$68="Baja",'Mapa final'!$AJ$68="Catastrófico"),CONCATENATE("R2C",'Mapa final'!$R$68),"")</f>
        <v/>
      </c>
      <c r="AK49" s="42" t="str">
        <f>IF(AND('Mapa final'!$AH$69="Baja",'Mapa final'!$AJ$69="Catastrófico"),CONCATENATE("R2C",'Mapa final'!$R$69),"")</f>
        <v/>
      </c>
      <c r="AL49" s="42" t="str">
        <f>IF(AND('Mapa final'!$AH$70="Baja",'Mapa final'!$AJ$70="Catastrófico"),CONCATENATE("R2C",'Mapa final'!$R$70),"")</f>
        <v/>
      </c>
      <c r="AM49" s="42" t="str">
        <f>IF(AND('Mapa final'!$AH$71="Baja",'Mapa final'!$AJ$71="Catastrófico"),CONCATENATE("R2C",'Mapa final'!$R$71),"")</f>
        <v/>
      </c>
      <c r="AN49" s="43" t="str">
        <f>IF(AND('Mapa final'!$AH$72="Baja",'Mapa final'!$AJ$72="Catastrófico"),CONCATENATE("R2C",'Mapa final'!$R$72),"")</f>
        <v/>
      </c>
      <c r="AO49" s="68"/>
      <c r="AP49" s="618"/>
      <c r="AQ49" s="619"/>
      <c r="AR49" s="619"/>
      <c r="AS49" s="619"/>
      <c r="AT49" s="619"/>
      <c r="AU49" s="620"/>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c r="B50" s="68"/>
      <c r="C50" s="497"/>
      <c r="D50" s="497"/>
      <c r="E50" s="498"/>
      <c r="F50" s="587"/>
      <c r="G50" s="588"/>
      <c r="H50" s="588"/>
      <c r="I50" s="588"/>
      <c r="J50" s="588"/>
      <c r="K50" s="62" t="str">
        <f>IF(AND('Mapa final'!$AH$73="Baja",'Mapa final'!$AJ$73="Leve"),CONCATENATE("R2C",'Mapa final'!$R$73),"")</f>
        <v/>
      </c>
      <c r="L50" s="63" t="str">
        <f>IF(AND('Mapa final'!$AH$74="Baja",'Mapa final'!$AJ$74="Leve"),CONCATENATE("R2C",'Mapa final'!$R$74),"")</f>
        <v/>
      </c>
      <c r="M50" s="63" t="str">
        <f>IF(AND('Mapa final'!$AH$75="Baja",'Mapa final'!$AJ$75="Leve"),CONCATENATE("R2C",'Mapa final'!$R$75),"")</f>
        <v/>
      </c>
      <c r="N50" s="63" t="str">
        <f>IF(AND('Mapa final'!$AH$76="Baja",'Mapa final'!$AJ$76="Leve"),CONCATENATE("R2C",'Mapa final'!$R$76),"")</f>
        <v/>
      </c>
      <c r="O50" s="63" t="str">
        <f>IF(AND('Mapa final'!$AH$77="Baja",'Mapa final'!$AJ$77="Leve"),CONCATENATE("R2C",'Mapa final'!$R$77),"")</f>
        <v/>
      </c>
      <c r="P50" s="64" t="str">
        <f>IF(AND('Mapa final'!$AH$78="Baja",'Mapa final'!$AJ$78="Leve"),CONCATENATE("R2C",'Mapa final'!$R$78),"")</f>
        <v/>
      </c>
      <c r="Q50" s="53" t="str">
        <f>IF(AND('Mapa final'!$AH$73="Baja",'Mapa final'!$AJ$73="Menor"),CONCATENATE("R2C",'Mapa final'!$R$73),"")</f>
        <v/>
      </c>
      <c r="R50" s="54" t="str">
        <f>IF(AND('Mapa final'!$AH$74="Baja",'Mapa final'!$AJ$74="Menor"),CONCATENATE("R2C",'Mapa final'!$R$74),"")</f>
        <v/>
      </c>
      <c r="S50" s="54" t="str">
        <f>IF(AND('Mapa final'!$AH$75="Baja",'Mapa final'!$AJ$75="Menor"),CONCATENATE("R2C",'Mapa final'!$R$75),"")</f>
        <v/>
      </c>
      <c r="T50" s="54" t="str">
        <f>IF(AND('Mapa final'!$AH$76="Baja",'Mapa final'!$AJ$76="Menor"),CONCATENATE("R2C",'Mapa final'!$R$76),"")</f>
        <v/>
      </c>
      <c r="U50" s="54" t="str">
        <f>IF(AND('Mapa final'!$AH$77="Baja",'Mapa final'!$AJ$77="Menor"),CONCATENATE("R2C",'Mapa final'!$R$77),"")</f>
        <v/>
      </c>
      <c r="V50" s="55" t="str">
        <f>IF(AND('Mapa final'!$AH$78="Baja",'Mapa final'!$AJ$78="Menor"),CONCATENATE("R2C",'Mapa final'!$R$78),"")</f>
        <v/>
      </c>
      <c r="W50" s="53" t="str">
        <f>IF(AND('Mapa final'!$AH$73="Baja",'Mapa final'!$AJ$73="Moderado"),CONCATENATE("R2C",'Mapa final'!$R$73),"")</f>
        <v/>
      </c>
      <c r="X50" s="54" t="str">
        <f>IF(AND('Mapa final'!$AH$74="Baja",'Mapa final'!$AJ$74="Moderado"),CONCATENATE("R2C",'Mapa final'!$R$74),"")</f>
        <v/>
      </c>
      <c r="Y50" s="54" t="str">
        <f>IF(AND('Mapa final'!$AH$75="Baja",'Mapa final'!$AJ$75="Moderado"),CONCATENATE("R2C",'Mapa final'!$R$75),"")</f>
        <v/>
      </c>
      <c r="Z50" s="54" t="str">
        <f>IF(AND('Mapa final'!$AH$76="Baja",'Mapa final'!$AJ$76="Moderado"),CONCATENATE("R2C",'Mapa final'!$R$76),"")</f>
        <v/>
      </c>
      <c r="AA50" s="54" t="str">
        <f>IF(AND('Mapa final'!$AH$77="Baja",'Mapa final'!$AJ$77="Moderado"),CONCATENATE("R2C",'Mapa final'!$R$77),"")</f>
        <v/>
      </c>
      <c r="AB50" s="55" t="str">
        <f>IF(AND('Mapa final'!$AH$78="Baja",'Mapa final'!$AJ$78="Moderado"),CONCATENATE("R2C",'Mapa final'!$R$78),"")</f>
        <v/>
      </c>
      <c r="AC50" s="38" t="str">
        <f>IF(AND('Mapa final'!$AH$73="Baja",'Mapa final'!$AJ$73="Mayor"),CONCATENATE("R2C",'Mapa final'!$R$73),"")</f>
        <v/>
      </c>
      <c r="AD50" s="39" t="str">
        <f>IF(AND('Mapa final'!$AH$74="Baja",'Mapa final'!$AJ$74="Mayor"),CONCATENATE("R2C",'Mapa final'!$R$74),"")</f>
        <v/>
      </c>
      <c r="AE50" s="39" t="str">
        <f>IF(AND('Mapa final'!$AH$75="Baja",'Mapa final'!$AJ$75="Mayor"),CONCATENATE("R2C",'Mapa final'!$R$75),"")</f>
        <v/>
      </c>
      <c r="AF50" s="39" t="str">
        <f>IF(AND('Mapa final'!$AH$76="Baja",'Mapa final'!$AJ$76="Mayor"),CONCATENATE("R2C",'Mapa final'!$R$76),"")</f>
        <v/>
      </c>
      <c r="AG50" s="39" t="str">
        <f>IF(AND('Mapa final'!$AH$77="Baja",'Mapa final'!$AJ$77="Mayor"),CONCATENATE("R2C",'Mapa final'!$R$77),"")</f>
        <v/>
      </c>
      <c r="AH50" s="40" t="str">
        <f>IF(AND('Mapa final'!$AH$78="Baja",'Mapa final'!$AJ$78="Mayor"),CONCATENATE("R2C",'Mapa final'!$R$78),"")</f>
        <v/>
      </c>
      <c r="AI50" s="41" t="str">
        <f>IF(AND('Mapa final'!$AH$73="Baja",'Mapa final'!$AJ$73="Catastrófico"),CONCATENATE("R2C",'Mapa final'!$R$73),"")</f>
        <v/>
      </c>
      <c r="AJ50" s="42" t="str">
        <f>IF(AND('Mapa final'!$AH$74="Baja",'Mapa final'!$AJ$74="Catastrófico"),CONCATENATE("R2C",'Mapa final'!$R$74),"")</f>
        <v/>
      </c>
      <c r="AK50" s="42" t="str">
        <f>IF(AND('Mapa final'!$AH$75="Baja",'Mapa final'!$AJ$75="Catastrófico"),CONCATENATE("R2C",'Mapa final'!$R$75),"")</f>
        <v/>
      </c>
      <c r="AL50" s="42" t="str">
        <f>IF(AND('Mapa final'!$AH$76="Baja",'Mapa final'!$AJ$76="Catastrófico"),CONCATENATE("R2C",'Mapa final'!$R$76),"")</f>
        <v/>
      </c>
      <c r="AM50" s="42" t="str">
        <f>IF(AND('Mapa final'!$AH$77="Baja",'Mapa final'!$AJ$77="Catastrófico"),CONCATENATE("R2C",'Mapa final'!$R$77),"")</f>
        <v/>
      </c>
      <c r="AN50" s="43" t="str">
        <f>IF(AND('Mapa final'!$AH$78="Baja",'Mapa final'!$AJ$78="Catastrófico"),CONCATENATE("R2C",'Mapa final'!$R$78),"")</f>
        <v/>
      </c>
      <c r="AO50" s="68"/>
      <c r="AP50" s="618"/>
      <c r="AQ50" s="619"/>
      <c r="AR50" s="619"/>
      <c r="AS50" s="619"/>
      <c r="AT50" s="619"/>
      <c r="AU50" s="620"/>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c r="B51" s="68"/>
      <c r="C51" s="497"/>
      <c r="D51" s="497"/>
      <c r="E51" s="498"/>
      <c r="F51" s="590"/>
      <c r="G51" s="591"/>
      <c r="H51" s="591"/>
      <c r="I51" s="591"/>
      <c r="J51" s="591"/>
      <c r="K51" s="65" t="str">
        <f>IF(AND('Mapa final'!$AH$79="Baja",'Mapa final'!$AJ$79="Leve"),CONCATENATE("R2C",'Mapa final'!$R$79),"")</f>
        <v/>
      </c>
      <c r="L51" s="66" t="str">
        <f>IF(AND('Mapa final'!$AH$80="Baja",'Mapa final'!$AJ$80="Leve"),CONCATENATE("R2C",'Mapa final'!$R$80),"")</f>
        <v/>
      </c>
      <c r="M51" s="66" t="str">
        <f>IF(AND('Mapa final'!$AH$81="Baja",'Mapa final'!$AJ$81="Leve"),CONCATENATE("R2C",'Mapa final'!$R$81),"")</f>
        <v/>
      </c>
      <c r="N51" s="66" t="str">
        <f>IF(AND('Mapa final'!$AH$82="Baja",'Mapa final'!$AJ$82="Leve"),CONCATENATE("R2C",'Mapa final'!$R$82),"")</f>
        <v/>
      </c>
      <c r="O51" s="66" t="str">
        <f>IF(AND('Mapa final'!$AH$84="Baja",'Mapa final'!$AJ$84="Leve"),CONCATENATE("R2C",'Mapa final'!$R$84),"")</f>
        <v/>
      </c>
      <c r="P51" s="67" t="str">
        <f>IF(AND('Mapa final'!$AH$85="Baja",'Mapa final'!$AJ$85="Leve"),CONCATENATE("R2C",'Mapa final'!$R$85),"")</f>
        <v/>
      </c>
      <c r="Q51" s="53" t="str">
        <f>IF(AND('Mapa final'!$AH$79="Baja",'Mapa final'!$AJ$79="Menor"),CONCATENATE("R2C",'Mapa final'!$R$79),"")</f>
        <v/>
      </c>
      <c r="R51" s="54" t="str">
        <f>IF(AND('Mapa final'!$AH$80="Baja",'Mapa final'!$AJ$80="Menor"),CONCATENATE("R2C",'Mapa final'!$R$80),"")</f>
        <v/>
      </c>
      <c r="S51" s="54" t="str">
        <f>IF(AND('Mapa final'!$AH$81="Baja",'Mapa final'!$AJ$81="Menor"),CONCATENATE("R2C",'Mapa final'!$R$81),"")</f>
        <v/>
      </c>
      <c r="T51" s="54" t="str">
        <f>IF(AND('Mapa final'!$AH$82="Baja",'Mapa final'!$AJ$82="Menor"),CONCATENATE("R2C",'Mapa final'!$R$82),"")</f>
        <v/>
      </c>
      <c r="U51" s="54" t="str">
        <f>IF(AND('Mapa final'!$AH$84="Baja",'Mapa final'!$AJ$84="Menor"),CONCATENATE("R2C",'Mapa final'!$R$84),"")</f>
        <v/>
      </c>
      <c r="V51" s="55" t="str">
        <f>IF(AND('Mapa final'!$AH$85="Baja",'Mapa final'!$AJ$85="Menor"),CONCATENATE("R2C",'Mapa final'!$R$85),"")</f>
        <v/>
      </c>
      <c r="W51" s="56" t="str">
        <f>IF(AND('Mapa final'!$AH$79="Baja",'Mapa final'!$AJ$79="Moderado"),CONCATENATE("R2C",'Mapa final'!$R$79),"")</f>
        <v/>
      </c>
      <c r="X51" s="57" t="str">
        <f>IF(AND('Mapa final'!$AH$80="Baja",'Mapa final'!$AJ$80="Moderado"),CONCATENATE("R2C",'Mapa final'!$R$80),"")</f>
        <v/>
      </c>
      <c r="Y51" s="57" t="str">
        <f>IF(AND('Mapa final'!$AH$81="Baja",'Mapa final'!$AJ$81="Moderado"),CONCATENATE("R2C",'Mapa final'!$R$81),"")</f>
        <v/>
      </c>
      <c r="Z51" s="57" t="str">
        <f>IF(AND('Mapa final'!$AH$82="Baja",'Mapa final'!$AJ$82="Moderado"),CONCATENATE("R2C",'Mapa final'!$R$82),"")</f>
        <v/>
      </c>
      <c r="AA51" s="57" t="str">
        <f>IF(AND('Mapa final'!$AH$84="Baja",'Mapa final'!$AJ$84="Moderado"),CONCATENATE("R2C",'Mapa final'!$R$84),"")</f>
        <v/>
      </c>
      <c r="AB51" s="58" t="str">
        <f>IF(AND('Mapa final'!$AH$85="Baja",'Mapa final'!$AJ$85="Moderado"),CONCATENATE("R2C",'Mapa final'!$R$85),"")</f>
        <v/>
      </c>
      <c r="AC51" s="44" t="str">
        <f>IF(AND('Mapa final'!$AH$79="Baja",'Mapa final'!$AJ$79="Mayor"),CONCATENATE("R2C",'Mapa final'!$R$79),"")</f>
        <v/>
      </c>
      <c r="AD51" s="45" t="str">
        <f>IF(AND('Mapa final'!$AH$80="Baja",'Mapa final'!$AJ$80="Mayor"),CONCATENATE("R2C",'Mapa final'!$R$80),"")</f>
        <v/>
      </c>
      <c r="AE51" s="45" t="str">
        <f>IF(AND('Mapa final'!$AH$81="Baja",'Mapa final'!$AJ$81="Mayor"),CONCATENATE("R2C",'Mapa final'!$R$81),"")</f>
        <v/>
      </c>
      <c r="AF51" s="45" t="str">
        <f>IF(AND('Mapa final'!$AH$82="Baja",'Mapa final'!$AJ$82="Mayor"),CONCATENATE("R2C",'Mapa final'!$R$82),"")</f>
        <v/>
      </c>
      <c r="AG51" s="45" t="str">
        <f>IF(AND('Mapa final'!$AH$84="Baja",'Mapa final'!$AJ$84="Mayor"),CONCATENATE("R2C",'Mapa final'!$R$84),"")</f>
        <v/>
      </c>
      <c r="AH51" s="46" t="str">
        <f>IF(AND('Mapa final'!$AH$85="Baja",'Mapa final'!$AJ$85="Mayor"),CONCATENATE("R2C",'Mapa final'!$R$85),"")</f>
        <v/>
      </c>
      <c r="AI51" s="47" t="str">
        <f>IF(AND('Mapa final'!$AH$79="Baja",'Mapa final'!$AJ$79="Catastrófico"),CONCATENATE("R2C",'Mapa final'!$R$79),"")</f>
        <v/>
      </c>
      <c r="AJ51" s="48" t="str">
        <f>IF(AND('Mapa final'!$AH$80="Baja",'Mapa final'!$AJ$80="Catastrófico"),CONCATENATE("R2C",'Mapa final'!$R$80),"")</f>
        <v/>
      </c>
      <c r="AK51" s="48" t="str">
        <f>IF(AND('Mapa final'!$AH$81="Baja",'Mapa final'!$AJ$81="Catastrófico"),CONCATENATE("R2C",'Mapa final'!$R$81),"")</f>
        <v/>
      </c>
      <c r="AL51" s="48" t="str">
        <f>IF(AND('Mapa final'!$AH$82="Baja",'Mapa final'!$AJ$82="Catastrófico"),CONCATENATE("R2C",'Mapa final'!$R$82),"")</f>
        <v/>
      </c>
      <c r="AM51" s="48" t="str">
        <f>IF(AND('Mapa final'!$AH$84="Baja",'Mapa final'!$AJ$84="Catastrófico"),CONCATENATE("R2C",'Mapa final'!$R$84),"")</f>
        <v/>
      </c>
      <c r="AN51" s="49" t="str">
        <f>IF(AND('Mapa final'!$AH$85="Baja",'Mapa final'!$AJ$85="Catastrófico"),CONCATENATE("R2C",'Mapa final'!$R$85),"")</f>
        <v/>
      </c>
      <c r="AO51" s="68"/>
      <c r="AP51" s="621"/>
      <c r="AQ51" s="622"/>
      <c r="AR51" s="622"/>
      <c r="AS51" s="622"/>
      <c r="AT51" s="622"/>
      <c r="AU51" s="623"/>
    </row>
    <row r="52" spans="2:81" ht="41.25" customHeight="1">
      <c r="B52" s="68"/>
      <c r="C52" s="497"/>
      <c r="D52" s="497"/>
      <c r="E52" s="498"/>
      <c r="F52" s="584" t="s">
        <v>375</v>
      </c>
      <c r="G52" s="585"/>
      <c r="H52" s="585"/>
      <c r="I52" s="585"/>
      <c r="J52" s="586"/>
      <c r="K52" s="59"/>
      <c r="L52" s="60" t="str">
        <f>IF(AND('Mapa final'!$AH$16="Muy Baja",'Mapa final'!$AJ$16="Leve"),CONCATENATE("R2C",'Mapa final'!$R$15),"")</f>
        <v/>
      </c>
      <c r="M52" s="60" t="str">
        <f>IF(AND('Mapa final'!$AH$17="Muy Baja",'Mapa final'!$AJ$17="Leve"),CONCATENATE("R2C",'Mapa final'!$R$17),"")</f>
        <v/>
      </c>
      <c r="N52" s="60" t="str">
        <f>IF(AND('Mapa final'!$AH$20="Muy Baja",'Mapa final'!$AJ$20="Leve"),CONCATENATE("R2C",'Mapa final'!$R$20),"")</f>
        <v/>
      </c>
      <c r="O52" s="60" t="str">
        <f>IF(AND('Mapa final'!$AH$21="Muy Baja",'Mapa final'!$AJ$21="Leve"),CONCATENATE("R2C",'Mapa final'!$R$21),"")</f>
        <v/>
      </c>
      <c r="P52" s="61" t="str">
        <f>IF(AND('Mapa final'!$AH$22="Muy Baja",'Mapa final'!$AJ$22="Leve"),CONCATENATE("R2C",'Mapa final'!$R$22),"")</f>
        <v/>
      </c>
      <c r="Q52" s="59"/>
      <c r="R52" s="60" t="str">
        <f>IF(AND('Mapa final'!$AH$16="Muy Baja",'Mapa final'!$AJ$16="Menore"),CONCATENATE("R2C",'Mapa final'!$R$15),"")</f>
        <v/>
      </c>
      <c r="S52" s="60" t="str">
        <f>IF(AND('Mapa final'!$AH$17="Muy Baja",'Mapa final'!$AJ$17="Menor"),CONCATENATE("R2C",'Mapa final'!$R$17),"")</f>
        <v/>
      </c>
      <c r="T52" s="60" t="str">
        <f>IF(AND('Mapa final'!$AH$20="Muy Baja",'Mapa final'!$AJ$20="Menor"),CONCATENATE("R2C",'Mapa final'!$R$20),"")</f>
        <v/>
      </c>
      <c r="U52" s="60" t="str">
        <f>IF(AND('Mapa final'!$AH$21="Muy Baja",'Mapa final'!$AJ$21="Menor"),CONCATENATE("R2C",'Mapa final'!$R$21),"")</f>
        <v/>
      </c>
      <c r="V52" s="61" t="str">
        <f>IF(AND('Mapa final'!$AH$22="Muy Baja",'Mapa final'!$AJ$22="Menor"),CONCATENATE("R2C",'Mapa final'!$R$22),"")</f>
        <v/>
      </c>
      <c r="W52" s="50"/>
      <c r="X52" s="203" t="str">
        <f>IF(AND('Mapa final'!$AH$16="Muy Baja",'Mapa final'!$AJ$16="Moderado"),CONCATENATE("R2C",'Mapa final'!$D$15),"")</f>
        <v/>
      </c>
      <c r="Y52" s="51"/>
      <c r="Z52" s="51" t="str">
        <f>IF(AND('Mapa final'!$AH$20="Muy Baja",'Mapa final'!$AJ$20="Moderado"),CONCATENATE("R2C",'Mapa final'!$R$20),"")</f>
        <v/>
      </c>
      <c r="AA52" s="51" t="str">
        <f>IF(AND('Mapa final'!$AH$21="Muy Baja",'Mapa final'!$AJ$21="Moderado"),CONCATENATE("R2C",'Mapa final'!$R$21),"")</f>
        <v/>
      </c>
      <c r="AB52" s="52" t="str">
        <f>IF(AND('Mapa final'!$AH$22="Muy Baja",'Mapa final'!$AJ$22="Moderado"),CONCATENATE("R2C",'Mapa final'!$R$22),"")</f>
        <v/>
      </c>
      <c r="AC52" s="32"/>
      <c r="AD52" s="33" t="str">
        <f>IF(AND('Mapa final'!$AH$16="Muy Baja",'Mapa final'!$AJ$16="Mayor"),CONCATENATE("R2C",'Mapa final'!$R$15),"")</f>
        <v/>
      </c>
      <c r="AE52" s="202" t="str">
        <f>IF(AND('Mapa final'!$AH$17="Muy Baja",'Mapa final'!$AJ$17="Mayor"),CONCATENATE("R2C",'Mapa final'!$D$17),"")</f>
        <v/>
      </c>
      <c r="AF52" s="33" t="str">
        <f>IF(AND('Mapa final'!$AH$20="Muy Baja",'Mapa final'!$AJ$20="Mayor"),CONCATENATE("R2C",'Mapa final'!$R$20),"")</f>
        <v/>
      </c>
      <c r="AG52" s="33" t="str">
        <f>IF(AND('Mapa final'!$AH$21="Muy Baja",'Mapa final'!$AJ$21="Mayor"),CONCATENATE("R2C",'Mapa final'!$R$21),"")</f>
        <v/>
      </c>
      <c r="AH52" s="34" t="str">
        <f>IF(AND('Mapa final'!$AH$22="Muy Baja",'Mapa final'!$AJ$22="Mayor"),CONCATENATE("R2C",'Mapa final'!$R$22),"")</f>
        <v/>
      </c>
      <c r="AI52" s="35"/>
      <c r="AJ52" s="36" t="str">
        <f>IF(AND('Mapa final'!$AH$16="Muy Baja",'Mapa final'!$AJ$16="Catastrófico"),CONCATENATE("R2C",'Mapa final'!$D$15),"")</f>
        <v/>
      </c>
      <c r="AK52" s="36" t="str">
        <f>IF(AND('Mapa final'!$AH$17="Muy Baja",'Mapa final'!$AJ$17="Catastrófico"),CONCATENATE("R2C",'Mapa final'!$R$17),"")</f>
        <v/>
      </c>
      <c r="AL52" s="36" t="str">
        <f>IF(AND('Mapa final'!$AH$20="Muy Baja",'Mapa final'!$AJ$20="Catastrófico"),CONCATENATE("R2C",'Mapa final'!$R$20),"")</f>
        <v/>
      </c>
      <c r="AM52" s="36" t="str">
        <f>IF(AND('Mapa final'!$AH$21="Muy Baja",'Mapa final'!$AJ$21="Catastrófico"),CONCATENATE("R2C",'Mapa final'!$R$21),"")</f>
        <v/>
      </c>
      <c r="AN52" s="37" t="str">
        <f>IF(AND('Mapa final'!$AH$22="Muy Baja",'Mapa final'!$AJ$22="Catastrófico"),CONCATENATE("R2C",'Mapa final'!$R$22),"")</f>
        <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row>
    <row r="53" spans="2:81" ht="57.75" customHeight="1">
      <c r="B53" s="68"/>
      <c r="C53" s="497"/>
      <c r="D53" s="497"/>
      <c r="E53" s="498"/>
      <c r="F53" s="602"/>
      <c r="G53" s="588"/>
      <c r="H53" s="588"/>
      <c r="I53" s="588"/>
      <c r="J53" s="589"/>
      <c r="K53" s="62" t="str">
        <f>IF(AND('Mapa final'!$AH$23="Muy Baja",'Mapa final'!$AJ$23="Leve"),CONCATENATE("R2C",'Mapa final'!$R$23),"")</f>
        <v/>
      </c>
      <c r="L53" s="63" t="str">
        <f>IF(AND('Mapa final'!$AH$24="Muy Baja",'Mapa final'!$AJ$24="Leve"),CONCATENATE("R2C",'Mapa final'!$R$24),"")</f>
        <v/>
      </c>
      <c r="M53" s="63" t="str">
        <f>IF(AND('Mapa final'!$AH$33="Muy Baja",'Mapa final'!$AJ$33="Leve"),CONCATENATE("R2C",'Mapa final'!$R$33),"")</f>
        <v/>
      </c>
      <c r="N53" s="63" t="str">
        <f>IF(AND('Mapa final'!$AH$34="Muy Baja",'Mapa final'!$AJ$34="Leve"),CONCATENATE("R2C",'Mapa final'!$R$34),"")</f>
        <v/>
      </c>
      <c r="O53" s="63" t="str">
        <f>IF(AND('Mapa final'!$AH$35="Muy Baja",'Mapa final'!$AJ$35="Leve"),CONCATENATE("R2C",'Mapa final'!$R$35),"")</f>
        <v/>
      </c>
      <c r="P53" s="64" t="str">
        <f>IF(AND('Mapa final'!$AH$36="Muy Baja",'Mapa final'!$AJ$36="Leve"),CONCATENATE("R2C",'Mapa final'!$R$36),"")</f>
        <v/>
      </c>
      <c r="Q53" s="62" t="str">
        <f>IF(AND('Mapa final'!$AH$23="Muy Baja",'Mapa final'!$AJ$23="Menor"),CONCATENATE("R2C",'Mapa final'!$R$23),"")</f>
        <v/>
      </c>
      <c r="R53" s="63" t="str">
        <f>IF(AND('Mapa final'!$AH$24="Muy Baja",'Mapa final'!$AJ$24="Menor"),CONCATENATE("R2C",'Mapa final'!$R$24),"")</f>
        <v/>
      </c>
      <c r="S53" s="63" t="str">
        <f>IF(AND('Mapa final'!$AH$33="Muy Baja",'Mapa final'!$AJ$33="Menor"),CONCATENATE("R2C",'Mapa final'!$R$33),"")</f>
        <v/>
      </c>
      <c r="T53" s="63" t="str">
        <f>IF(AND('Mapa final'!$AH$34="Muy Baja",'Mapa final'!$AJ$34="Menor"),CONCATENATE("R2C",'Mapa final'!$R$34),"")</f>
        <v/>
      </c>
      <c r="U53" s="63" t="str">
        <f>IF(AND('Mapa final'!$AH$35="Muy Baja",'Mapa final'!$AJ$35="Menor"),CONCATENATE("R2C",'Mapa final'!$R$35),"")</f>
        <v/>
      </c>
      <c r="V53" s="64" t="str">
        <f>IF(AND('Mapa final'!$AH$36="Muy Baja",'Mapa final'!$AJ$36="Menor"),CONCATENATE("R2C",'Mapa final'!$R$36),"")</f>
        <v/>
      </c>
      <c r="W53" s="53" t="str">
        <f>IF(AND('Mapa final'!$AH$23="Muy Baja",'Mapa final'!$AJ$23="Moderado"),CONCATENATE("R2C",'Mapa final'!$R$23),"")</f>
        <v/>
      </c>
      <c r="X53" s="54" t="str">
        <f>IF(AND('Mapa final'!$AH$24="Muy Baja",'Mapa final'!$AJ$24="Moderado"),CONCATENATE("R2C",'Mapa final'!$R$24),"")</f>
        <v/>
      </c>
      <c r="Y53" s="54" t="str">
        <f>IF(AND('Mapa final'!$AH$33="Muy Baja",'Mapa final'!$AJ$33="Moderado"),CONCATENATE("R2C",'Mapa final'!$R$33),"")</f>
        <v/>
      </c>
      <c r="Z53" s="54" t="str">
        <f>IF(AND('Mapa final'!$AH$34="Muy Baja",'Mapa final'!$AJ$34="Moderado"),CONCATENATE("R2C",'Mapa final'!$R$34),"")</f>
        <v/>
      </c>
      <c r="AA53" s="54" t="str">
        <f>IF(AND('Mapa final'!$AH$35="Muy Baja",'Mapa final'!$AJ$35="Moderado"),CONCATENATE("R2C",'Mapa final'!$R$35),"")</f>
        <v/>
      </c>
      <c r="AB53" s="55" t="str">
        <f>IF(AND('Mapa final'!$AH$36="Muy Baja",'Mapa final'!$AJ$36="Moderado"),CONCATENATE("R2C",'Mapa final'!$R$36),"")</f>
        <v/>
      </c>
      <c r="AC53" s="38" t="str">
        <f>IF(AND('Mapa final'!$AH$23="Muy Baja",'Mapa final'!$AJ$23="Mayor"),CONCATENATE("R2C",'Mapa final'!$R$23),"")</f>
        <v/>
      </c>
      <c r="AD53" s="39" t="str">
        <f>IF(AND('Mapa final'!$AH$24="Muy Baja",'Mapa final'!$AJ$24="Mayor"),CONCATENATE("R2C",'Mapa final'!$R$24),"")</f>
        <v/>
      </c>
      <c r="AE53" s="39" t="str">
        <f>IF(AND('Mapa final'!$AH$33="Muy Baja",'Mapa final'!$AJ$33="Mayor"),CONCATENATE("R2C",'Mapa final'!$R$33),"")</f>
        <v/>
      </c>
      <c r="AF53" s="39" t="str">
        <f>IF(AND('Mapa final'!$AH$34="Muy Baja",'Mapa final'!$AJ$34="Mayor"),CONCATENATE("R2C",'Mapa final'!$R$34),"")</f>
        <v/>
      </c>
      <c r="AG53" s="39" t="str">
        <f>IF(AND('Mapa final'!$AH$35="Muy Baja",'Mapa final'!$AJ$35="Mayor"),CONCATENATE("R2C",'Mapa final'!$R$35),"")</f>
        <v/>
      </c>
      <c r="AH53" s="40" t="str">
        <f>IF(AND('Mapa final'!$AH$36="Muy Baja",'Mapa final'!$AJ$36="Mayor"),CONCATENATE("R2C",'Mapa final'!$R$36),"")</f>
        <v/>
      </c>
      <c r="AI53" s="41" t="str">
        <f>IF(AND('Mapa final'!$AH$23="Muy Baja",'Mapa final'!$AJ$23="Catastrófico"),CONCATENATE("R2C",'Mapa final'!$A$23),"")</f>
        <v/>
      </c>
      <c r="AJ53" s="42" t="str">
        <f>IF(AND('Mapa final'!$AH$24="Muy Baja",'Mapa final'!$AJ$24="Catastrófico"),CONCATENATE("R2C",'Mapa final'!$R$24),"")</f>
        <v/>
      </c>
      <c r="AK53" s="42" t="str">
        <f>IF(AND('Mapa final'!$AH$33="Muy Baja",'Mapa final'!$AJ$33="Catastrófico"),CONCATENATE("R2C",'Mapa final'!$R$33),"")</f>
        <v/>
      </c>
      <c r="AL53" s="42" t="str">
        <f>IF(AND('Mapa final'!$AH$34="Muy Baja",'Mapa final'!$AJ$34="Catastrófico"),CONCATENATE("R2C",'Mapa final'!$R$34),"")</f>
        <v/>
      </c>
      <c r="AM53" s="42" t="str">
        <f>IF(AND('Mapa final'!$AH$35="Muy Baja",'Mapa final'!$AJ$35="Catastrófico"),CONCATENATE("R2C",'Mapa final'!$R$35),"")</f>
        <v/>
      </c>
      <c r="AN53" s="43" t="str">
        <f>IF(AND('Mapa final'!$AH$36="Muy Baja",'Mapa final'!$AJ$36="Catastrófico"),CONCATENATE("R2C",'Mapa final'!$R$36),"")</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row>
    <row r="54" spans="2:81" ht="15" customHeight="1">
      <c r="B54" s="68"/>
      <c r="C54" s="497"/>
      <c r="D54" s="497"/>
      <c r="E54" s="498"/>
      <c r="F54" s="602"/>
      <c r="G54" s="588"/>
      <c r="H54" s="588"/>
      <c r="I54" s="588"/>
      <c r="J54" s="589"/>
      <c r="K54" s="62" t="str">
        <f>IF(AND('Mapa final'!$AH$37="Muy Baja",'Mapa final'!$AJ$37="Leve"),CONCATENATE("R2C",'Mapa final'!$R$37),"")</f>
        <v/>
      </c>
      <c r="L54" s="63" t="str">
        <f>IF(AND('Mapa final'!$AH$38="Muy Baja",'Mapa final'!$AJ$38="Leve"),CONCATENATE("R2C",'Mapa final'!$R$38),"")</f>
        <v/>
      </c>
      <c r="M54" s="63" t="str">
        <f>IF(AND('Mapa final'!$AH$39="Muy Baja",'Mapa final'!$AJ$39="Leve"),CONCATENATE("R2C",'Mapa final'!$R$39),"")</f>
        <v/>
      </c>
      <c r="N54" s="63" t="str">
        <f>IF(AND('Mapa final'!$AH$40="Muy Baja",'Mapa final'!$AJ$40="Leve"),CONCATENATE("R2C",'Mapa final'!$R$40),"")</f>
        <v/>
      </c>
      <c r="O54" s="63" t="str">
        <f>IF(AND('Mapa final'!$AH$41="Muy Baja",'Mapa final'!$AJ$41="Leve"),CONCATENATE("R2C",'Mapa final'!$R$41),"")</f>
        <v/>
      </c>
      <c r="P54" s="64" t="str">
        <f>IF(AND('Mapa final'!$AH$42="Muy Baja",'Mapa final'!$AJ$42="Leve"),CONCATENATE("R2C",'Mapa final'!$R$42),"")</f>
        <v/>
      </c>
      <c r="Q54" s="62" t="str">
        <f>IF(AND('Mapa final'!$AH$37="Muy Baja",'Mapa final'!$AJ$37="Menor"),CONCATENATE("R2C",'Mapa final'!$R$37),"")</f>
        <v/>
      </c>
      <c r="R54" s="63" t="str">
        <f>IF(AND('Mapa final'!$AH$38="Muy Baja",'Mapa final'!$AJ$38="Menor"),CONCATENATE("R2C",'Mapa final'!$R$38),"")</f>
        <v/>
      </c>
      <c r="S54" s="63" t="str">
        <f>IF(AND('Mapa final'!$AH$39="Muy Baja",'Mapa final'!$AJ$39="Menor"),CONCATENATE("R2C",'Mapa final'!$R$39),"")</f>
        <v/>
      </c>
      <c r="T54" s="63" t="str">
        <f>IF(AND('Mapa final'!$AH$40="Muy Baja",'Mapa final'!$AJ$40="Menor"),CONCATENATE("R2C",'Mapa final'!$R$40),"")</f>
        <v/>
      </c>
      <c r="U54" s="63" t="str">
        <f>IF(AND('Mapa final'!$AH$41="Muy Baja",'Mapa final'!$AJ$41="Menor"),CONCATENATE("R2C",'Mapa final'!$R$41),"")</f>
        <v/>
      </c>
      <c r="V54" s="64" t="str">
        <f>IF(AND('Mapa final'!$AH$42="Muy Baja",'Mapa final'!$AJ$42="Menor"),CONCATENATE("R2C",'Mapa final'!$R$42),"")</f>
        <v/>
      </c>
      <c r="W54" s="53" t="str">
        <f>IF(AND('Mapa final'!$AH$37="Muy Baja",'Mapa final'!$AJ$37="Moderado"),CONCATENATE("R2C",'Mapa final'!$R$37),"")</f>
        <v/>
      </c>
      <c r="X54" s="54" t="str">
        <f>IF(AND('Mapa final'!$AH$38="Muy Baja",'Mapa final'!$AJ$38="Moderado"),CONCATENATE("R2C",'Mapa final'!$R$38),"")</f>
        <v/>
      </c>
      <c r="Y54" s="54" t="str">
        <f>IF(AND('Mapa final'!$AH$39="Muy Baja",'Mapa final'!$AJ$39="Moderado"),CONCATENATE("R2C",'Mapa final'!$R$39),"")</f>
        <v/>
      </c>
      <c r="Z54" s="54" t="str">
        <f>IF(AND('Mapa final'!$AH$40="Muy Baja",'Mapa final'!$AJ$40="Moderado"),CONCATENATE("R2C",'Mapa final'!$R$40),"")</f>
        <v/>
      </c>
      <c r="AA54" s="54" t="str">
        <f>IF(AND('Mapa final'!$AH$41="Muy Baja",'Mapa final'!$AJ$41="Moderado"),CONCATENATE("R2C",'Mapa final'!$R$41),"")</f>
        <v/>
      </c>
      <c r="AB54" s="55" t="str">
        <f>IF(AND('Mapa final'!$AH$42="Muy Baja",'Mapa final'!$AJ$42="Moderado"),CONCATENATE("R2C",'Mapa final'!$R$42),"")</f>
        <v/>
      </c>
      <c r="AC54" s="38" t="str">
        <f>IF(AND('Mapa final'!$AH$37="Muy Baja",'Mapa final'!$AJ$37="Mayor"),CONCATENATE("R2C",'Mapa final'!$R$37),"")</f>
        <v/>
      </c>
      <c r="AD54" s="39" t="str">
        <f>IF(AND('Mapa final'!$AH$38="Muy Baja",'Mapa final'!$AJ$38="Mayor"),CONCATENATE("R2C",'Mapa final'!$R$38),"")</f>
        <v/>
      </c>
      <c r="AE54" s="39" t="str">
        <f>IF(AND('Mapa final'!$AH$39="Muy Baja",'Mapa final'!$AJ$39="Mayor"),CONCATENATE("R2C",'Mapa final'!$R$39),"")</f>
        <v/>
      </c>
      <c r="AF54" s="39" t="str">
        <f>IF(AND('Mapa final'!$AH$40="Muy Baja",'Mapa final'!$AJ$40="Mayor"),CONCATENATE("R2C",'Mapa final'!$R$40),"")</f>
        <v/>
      </c>
      <c r="AG54" s="39" t="str">
        <f>IF(AND('Mapa final'!$AH$41="Muy Baja",'Mapa final'!$AJ$41="Mayor"),CONCATENATE("R2C",'Mapa final'!$R$41),"")</f>
        <v/>
      </c>
      <c r="AH54" s="40" t="str">
        <f>IF(AND('Mapa final'!$AH$42="Muy Baja",'Mapa final'!$AJ$42="Mayor"),CONCATENATE("R2C",'Mapa final'!$R$42),"")</f>
        <v/>
      </c>
      <c r="AI54" s="41" t="str">
        <f>IF(AND('Mapa final'!$AH$37="Muy Baja",'Mapa final'!$AJ$37="Catastrófico"),CONCATENATE("R2C",'Mapa final'!$R$37),"")</f>
        <v/>
      </c>
      <c r="AJ54" s="42" t="str">
        <f>IF(AND('Mapa final'!$AH$38="Muy Baja",'Mapa final'!$AJ$38="Catastrófico"),CONCATENATE("R2C",'Mapa final'!$R$38),"")</f>
        <v/>
      </c>
      <c r="AK54" s="42" t="str">
        <f>IF(AND('Mapa final'!$AH$39="Muy Baja",'Mapa final'!$AJ$39="Catastrófico"),CONCATENATE("R2C",'Mapa final'!$R$39),"")</f>
        <v/>
      </c>
      <c r="AL54" s="42" t="str">
        <f>IF(AND('Mapa final'!$AH$40="Muy Baja",'Mapa final'!$AJ$40="Catastrófico"),CONCATENATE("R2C",'Mapa final'!$R$40),"")</f>
        <v/>
      </c>
      <c r="AM54" s="42" t="str">
        <f>IF(AND('Mapa final'!$AH$41="Muy Baja",'Mapa final'!$AJ$41="Catastrófico"),CONCATENATE("R2C",'Mapa final'!$R$41),"")</f>
        <v/>
      </c>
      <c r="AN54" s="43" t="str">
        <f>IF(AND('Mapa final'!$AH$42="Muy Baja",'Mapa final'!$AJ$42="Catastrófico"),CONCATENATE("R2C",'Mapa final'!$R$42),"")</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row>
    <row r="55" spans="2:81" ht="15" customHeight="1">
      <c r="B55" s="68"/>
      <c r="C55" s="497"/>
      <c r="D55" s="497"/>
      <c r="E55" s="498"/>
      <c r="F55" s="587"/>
      <c r="G55" s="588"/>
      <c r="H55" s="588"/>
      <c r="I55" s="588"/>
      <c r="J55" s="589"/>
      <c r="K55" s="62" t="str">
        <f>IF(AND('Mapa final'!$AH$43="Muy Baja",'Mapa final'!$AJ$43="Leve"),CONCATENATE("R2C",'Mapa final'!$R$43),"")</f>
        <v/>
      </c>
      <c r="L55" s="63" t="str">
        <f>IF(AND('Mapa final'!$AH$44="Muy Baja",'Mapa final'!$AJ$44="Leve"),CONCATENATE("R2C",'Mapa final'!$R$44),"")</f>
        <v/>
      </c>
      <c r="M55" s="63" t="str">
        <f>IF(AND('Mapa final'!$AH$45="Muy Baja",'Mapa final'!$AJ$45="Leve"),CONCATENATE("R2C",'Mapa final'!$R$45),"")</f>
        <v/>
      </c>
      <c r="N55" s="63" t="str">
        <f>IF(AND('Mapa final'!$AH$46="Muy Baja",'Mapa final'!$AJ$46="Leve"),CONCATENATE("R2C",'Mapa final'!$R$46),"")</f>
        <v/>
      </c>
      <c r="O55" s="63" t="str">
        <f>IF(AND('Mapa final'!$AH$47="Muy Baja",'Mapa final'!$AJ$47="Leve"),CONCATENATE("R2C",'Mapa final'!$R$47),"")</f>
        <v/>
      </c>
      <c r="P55" s="64" t="str">
        <f>IF(AND('Mapa final'!$AH$48="Muy Baja",'Mapa final'!$AJ$48="Leve"),CONCATENATE("R2C",'Mapa final'!$R$48),"")</f>
        <v/>
      </c>
      <c r="Q55" s="62" t="str">
        <f>IF(AND('Mapa final'!$AH$43="Muy Baja",'Mapa final'!$AJ$43="Menor"),CONCATENATE("R2C",'Mapa final'!$R$43),"")</f>
        <v/>
      </c>
      <c r="R55" s="63" t="str">
        <f>IF(AND('Mapa final'!$AH$44="Muy Baja",'Mapa final'!$AJ$44="Menor"),CONCATENATE("R2C",'Mapa final'!$R$44),"")</f>
        <v/>
      </c>
      <c r="S55" s="63" t="str">
        <f>IF(AND('Mapa final'!$AH$45="Muy Baja",'Mapa final'!$AJ$45="Menor"),CONCATENATE("R2C",'Mapa final'!$R$45),"")</f>
        <v/>
      </c>
      <c r="T55" s="63" t="str">
        <f>IF(AND('Mapa final'!$AH$46="Muy Baja",'Mapa final'!$AJ$46="Menor"),CONCATENATE("R2C",'Mapa final'!$R$46),"")</f>
        <v/>
      </c>
      <c r="U55" s="63" t="str">
        <f>IF(AND('Mapa final'!$AH$47="Muy Baja",'Mapa final'!$AJ$47="LMenor"),CONCATENATE("R2C",'Mapa final'!$R$47),"")</f>
        <v/>
      </c>
      <c r="V55" s="64" t="str">
        <f>IF(AND('Mapa final'!$AH$48="Muy Baja",'Mapa final'!$AJ$48="Menor"),CONCATENATE("R2C",'Mapa final'!$R$48),"")</f>
        <v/>
      </c>
      <c r="W55" s="53" t="str">
        <f>IF(AND('Mapa final'!$AH$43="Muy Baja",'Mapa final'!$AJ$43="Moderado"),CONCATENATE("R2C",'Mapa final'!$R$43),"")</f>
        <v/>
      </c>
      <c r="X55" s="54" t="str">
        <f>IF(AND('Mapa final'!$AH$44="Muy Baja",'Mapa final'!$AJ$44="Moderado"),CONCATENATE("R2C",'Mapa final'!$R$44),"")</f>
        <v/>
      </c>
      <c r="Y55" s="54" t="str">
        <f>IF(AND('Mapa final'!$AH$45="Muy Baja",'Mapa final'!$AJ$45="Moderado"),CONCATENATE("R2C",'Mapa final'!$R$45),"")</f>
        <v/>
      </c>
      <c r="Z55" s="54" t="str">
        <f>IF(AND('Mapa final'!$AH$46="Muy Baja",'Mapa final'!$AJ$46="Moderado"),CONCATENATE("R2C",'Mapa final'!$R$46),"")</f>
        <v/>
      </c>
      <c r="AA55" s="54" t="str">
        <f>IF(AND('Mapa final'!$AH$47="Muy Baja",'Mapa final'!$AJ$47="Moderado"),CONCATENATE("R2C",'Mapa final'!$R$47),"")</f>
        <v/>
      </c>
      <c r="AB55" s="55" t="str">
        <f>IF(AND('Mapa final'!$AH$48="Muy Baja",'Mapa final'!$AJ$48="Moderado"),CONCATENATE("R2C",'Mapa final'!$R$48),"")</f>
        <v/>
      </c>
      <c r="AC55" s="38" t="str">
        <f>IF(AND('Mapa final'!$AH$43="Muy Baja",'Mapa final'!$AJ$43="Mayor"),CONCATENATE("R2C",'Mapa final'!$R$43),"")</f>
        <v/>
      </c>
      <c r="AD55" s="39" t="str">
        <f>IF(AND('Mapa final'!$AH$44="Muy Baja",'Mapa final'!$AJ$44="Mayor"),CONCATENATE("R2C",'Mapa final'!$R$44),"")</f>
        <v/>
      </c>
      <c r="AE55" s="39" t="str">
        <f>IF(AND('Mapa final'!$AH$45="Muy Baja",'Mapa final'!$AJ$45="Mayor"),CONCATENATE("R2C",'Mapa final'!$R$45),"")</f>
        <v/>
      </c>
      <c r="AF55" s="39" t="str">
        <f>IF(AND('Mapa final'!$AH$46="Muy Baja",'Mapa final'!$AJ$46="Mayor"),CONCATENATE("R2C",'Mapa final'!$R$46),"")</f>
        <v/>
      </c>
      <c r="AG55" s="39" t="str">
        <f>IF(AND('Mapa final'!$AH$47="Muy Baja",'Mapa final'!$AJ$47="Mayor"),CONCATENATE("R2C",'Mapa final'!$R$47),"")</f>
        <v/>
      </c>
      <c r="AH55" s="40" t="str">
        <f>IF(AND('Mapa final'!$AH$48="Muy Baja",'Mapa final'!$AJ$48="Mayor"),CONCATENATE("R2C",'Mapa final'!$R$48),"")</f>
        <v/>
      </c>
      <c r="AI55" s="41" t="str">
        <f>IF(AND('Mapa final'!$AH$43="Muy Baja",'Mapa final'!$AJ$43="Catastrófico"),CONCATENATE("R2C",'Mapa final'!$R$43),"")</f>
        <v/>
      </c>
      <c r="AJ55" s="42" t="str">
        <f>IF(AND('Mapa final'!$AH$44="Muy Baja",'Mapa final'!$AJ$44="Catastrófico"),CONCATENATE("R2C",'Mapa final'!$R$44),"")</f>
        <v/>
      </c>
      <c r="AK55" s="42" t="str">
        <f>IF(AND('Mapa final'!$AH$45="Muy Baja",'Mapa final'!$AJ$45="Catastrófico"),CONCATENATE("R2C",'Mapa final'!$R$45),"")</f>
        <v/>
      </c>
      <c r="AL55" s="42" t="str">
        <f>IF(AND('Mapa final'!$AH$46="Muy Baja",'Mapa final'!$AJ$46="Catastrófico"),CONCATENATE("R2C",'Mapa final'!$R$46),"")</f>
        <v/>
      </c>
      <c r="AM55" s="42" t="str">
        <f>IF(AND('Mapa final'!$AH$47="Muy Baja",'Mapa final'!$AJ$47="LCatastrófico"),CONCATENATE("R2C",'Mapa final'!$R$47),"")</f>
        <v/>
      </c>
      <c r="AN55" s="43" t="str">
        <f>IF(AND('Mapa final'!$AH$48="Muy Baja",'Mapa final'!$AJ$48="Catastrófico"),CONCATENATE("R2C",'Mapa final'!$R$48),"")</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row>
    <row r="56" spans="2:81" ht="15" customHeight="1">
      <c r="B56" s="68"/>
      <c r="C56" s="497"/>
      <c r="D56" s="497"/>
      <c r="E56" s="498"/>
      <c r="F56" s="587"/>
      <c r="G56" s="588"/>
      <c r="H56" s="588"/>
      <c r="I56" s="588"/>
      <c r="J56" s="589"/>
      <c r="K56" s="62" t="str">
        <f>IF(AND('Mapa final'!$AH$49="Muy Baja",'Mapa final'!$AJ$49="Leve"),CONCATENATE("R2C",'Mapa final'!$R$49),"")</f>
        <v/>
      </c>
      <c r="L56" s="63" t="str">
        <f>IF(AND('Mapa final'!$AH$50="Muy Baja",'Mapa final'!$AJ$50="Leve"),CONCATENATE("R2C",'Mapa final'!$R$50),"")</f>
        <v/>
      </c>
      <c r="M56" s="63" t="str">
        <f>IF(AND('Mapa final'!$AH$51="Muy Baja",'Mapa final'!$AJ$51="Leve"),CONCATENATE("R2C",'Mapa final'!$R$51),"")</f>
        <v/>
      </c>
      <c r="N56" s="63" t="str">
        <f>IF(AND('Mapa final'!$AH$52="Muy Baja",'Mapa final'!$AJ$52="Leve"),CONCATENATE("R2C",'Mapa final'!$R$52),"")</f>
        <v/>
      </c>
      <c r="O56" s="63" t="str">
        <f>IF(AND('Mapa final'!$AH$53="Muy Baja",'Mapa final'!$AJ$53="Leve"),CONCATENATE("R2C",'Mapa final'!$R$53),"")</f>
        <v/>
      </c>
      <c r="P56" s="64" t="str">
        <f>IF(AND('Mapa final'!$AH$54="Muy Baja",'Mapa final'!$AJ$54="Leve"),CONCATENATE("R2C",'Mapa final'!$R$54),"")</f>
        <v/>
      </c>
      <c r="Q56" s="62" t="str">
        <f>IF(AND('Mapa final'!$AH$49="Muy Baja",'Mapa final'!$AJ$49="Menor"),CONCATENATE("R2C",'Mapa final'!$R$49),"")</f>
        <v/>
      </c>
      <c r="R56" s="63" t="str">
        <f>IF(AND('Mapa final'!$AH$50="Muy Baja",'Mapa final'!$AJ$50="Menor"),CONCATENATE("R2C",'Mapa final'!$R$50),"")</f>
        <v/>
      </c>
      <c r="S56" s="63" t="str">
        <f>IF(AND('Mapa final'!$AH$51="Muy Baja",'Mapa final'!$AJ$51="Menor"),CONCATENATE("R2C",'Mapa final'!$R$51),"")</f>
        <v/>
      </c>
      <c r="T56" s="63" t="str">
        <f>IF(AND('Mapa final'!$AH$52="Muy Baja",'Mapa final'!$AJ$52="Menor"),CONCATENATE("R2C",'Mapa final'!$R$52),"")</f>
        <v/>
      </c>
      <c r="U56" s="63" t="str">
        <f>IF(AND('Mapa final'!$AH$53="Muy Baja",'Mapa final'!$AJ$53="Menor"),CONCATENATE("R2C",'Mapa final'!$R$53),"")</f>
        <v/>
      </c>
      <c r="V56" s="64" t="str">
        <f>IF(AND('Mapa final'!$AH$54="Muy Baja",'Mapa final'!$AJ$54="Menor"),CONCATENATE("R2C",'Mapa final'!$R$54),"")</f>
        <v/>
      </c>
      <c r="W56" s="53" t="str">
        <f>IF(AND('Mapa final'!$AH$49="Muy Baja",'Mapa final'!$AJ$49="Moderado"),CONCATENATE("R2C",'Mapa final'!$R$49),"")</f>
        <v/>
      </c>
      <c r="X56" s="54" t="str">
        <f>IF(AND('Mapa final'!$AH$50="Muy Baja",'Mapa final'!$AJ$50="Moderado"),CONCATENATE("R2C",'Mapa final'!$R$50),"")</f>
        <v/>
      </c>
      <c r="Y56" s="54" t="str">
        <f>IF(AND('Mapa final'!$AH$51="Muy Baja",'Mapa final'!$AJ$51="Moderado"),CONCATENATE("R2C",'Mapa final'!$R$51),"")</f>
        <v/>
      </c>
      <c r="Z56" s="54" t="str">
        <f>IF(AND('Mapa final'!$AH$52="Muy Baja",'Mapa final'!$AJ$52="Moderado"),CONCATENATE("R2C",'Mapa final'!$R$52),"")</f>
        <v/>
      </c>
      <c r="AA56" s="54" t="str">
        <f>IF(AND('Mapa final'!$AH$53="Muy Baja",'Mapa final'!$AJ$53="Moderado"),CONCATENATE("R2C",'Mapa final'!$R$53),"")</f>
        <v/>
      </c>
      <c r="AB56" s="55" t="str">
        <f>IF(AND('Mapa final'!$AH$54="Muy Baja",'Mapa final'!$AJ$54="Moderado"),CONCATENATE("R2C",'Mapa final'!$R$54),"")</f>
        <v/>
      </c>
      <c r="AC56" s="38" t="str">
        <f>IF(AND('Mapa final'!$AH$49="Muy Baja",'Mapa final'!$AJ$49="Mayor"),CONCATENATE("R2C",'Mapa final'!$R$49),"")</f>
        <v/>
      </c>
      <c r="AD56" s="39" t="str">
        <f>IF(AND('Mapa final'!$AH$50="Muy Baja",'Mapa final'!$AJ$50="Mayor"),CONCATENATE("R2C",'Mapa final'!$R$50),"")</f>
        <v/>
      </c>
      <c r="AE56" s="39" t="str">
        <f>IF(AND('Mapa final'!$AH$51="Muy Baja",'Mapa final'!$AJ$51="Mayor"),CONCATENATE("R2C",'Mapa final'!$R$51),"")</f>
        <v/>
      </c>
      <c r="AF56" s="39" t="str">
        <f>IF(AND('Mapa final'!$AH$52="Muy Baja",'Mapa final'!$AJ$52="Mayor"),CONCATENATE("R2C",'Mapa final'!$R$52),"")</f>
        <v/>
      </c>
      <c r="AG56" s="39" t="str">
        <f>IF(AND('Mapa final'!$AH$53="Muy Baja",'Mapa final'!$AJ$53="Mayor"),CONCATENATE("R2C",'Mapa final'!$R$53),"")</f>
        <v/>
      </c>
      <c r="AH56" s="40" t="str">
        <f>IF(AND('Mapa final'!$AH$54="Muy Baja",'Mapa final'!$AJ$54="Mayor"),CONCATENATE("R2C",'Mapa final'!$R$54),"")</f>
        <v/>
      </c>
      <c r="AI56" s="41" t="str">
        <f>IF(AND('Mapa final'!$AH$49="Muy Baja",'Mapa final'!$AJ$49="Catastrófico"),CONCATENATE("R2C",'Mapa final'!$R$49),"")</f>
        <v/>
      </c>
      <c r="AJ56" s="42" t="str">
        <f>IF(AND('Mapa final'!$AH$50="Muy Baja",'Mapa final'!$AJ$50="Catastrófico"),CONCATENATE("R2C",'Mapa final'!$R$50),"")</f>
        <v/>
      </c>
      <c r="AK56" s="42" t="str">
        <f>IF(AND('Mapa final'!$AH$51="Muy Baja",'Mapa final'!$AJ$51="Catastrófico"),CONCATENATE("R2C",'Mapa final'!$R$51),"")</f>
        <v/>
      </c>
      <c r="AL56" s="42" t="str">
        <f>IF(AND('Mapa final'!$AH$52="Muy Baja",'Mapa final'!$AJ$52="Catastrófico"),CONCATENATE("R2C",'Mapa final'!$R$52),"")</f>
        <v/>
      </c>
      <c r="AM56" s="42" t="str">
        <f>IF(AND('Mapa final'!$AH$53="Muy Baja",'Mapa final'!$AJ$53="Catastrófico"),CONCATENATE("R2C",'Mapa final'!$R$53),"")</f>
        <v/>
      </c>
      <c r="AN56" s="43" t="str">
        <f>IF(AND('Mapa final'!$AH$54="Muy Baja",'Mapa final'!$AJ$54="Catastrófico"),CONCATENATE("R2C",'Mapa final'!$R$54),"")</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row>
    <row r="57" spans="2:81" ht="15" customHeight="1">
      <c r="B57" s="68"/>
      <c r="C57" s="497"/>
      <c r="D57" s="497"/>
      <c r="E57" s="498"/>
      <c r="F57" s="587"/>
      <c r="G57" s="588"/>
      <c r="H57" s="588"/>
      <c r="I57" s="588"/>
      <c r="J57" s="589"/>
      <c r="K57" s="62" t="str">
        <f>IF(AND('Mapa final'!$AH$55="Muy Baja",'Mapa final'!$AJ$55="Leve"),CONCATENATE("R2C",'Mapa final'!$R$55),"")</f>
        <v/>
      </c>
      <c r="L57" s="63" t="str">
        <f>IF(AND('Mapa final'!$AH$56="Muy Baja",'Mapa final'!$AJ$56="Leve"),CONCATENATE("R2C",'Mapa final'!$R$56),"")</f>
        <v/>
      </c>
      <c r="M57" s="63" t="str">
        <f>IF(AND('Mapa final'!$AH$57="Muy Baja",'Mapa final'!$AJ$57="Leve"),CONCATENATE("R2C",'Mapa final'!$R$57),"")</f>
        <v/>
      </c>
      <c r="N57" s="63" t="str">
        <f>IF(AND('Mapa final'!$AH$58="Muy Baja",'Mapa final'!$AJ$58="Leve"),CONCATENATE("R2C",'Mapa final'!$R$58),"")</f>
        <v/>
      </c>
      <c r="O57" s="63" t="str">
        <f>IF(AND('Mapa final'!$AH$59="Muy Baja",'Mapa final'!$AJ$59="Leve"),CONCATENATE("R2C",'Mapa final'!$R$59),"")</f>
        <v/>
      </c>
      <c r="P57" s="64" t="str">
        <f>IF(AND('Mapa final'!$AH$70="Muy Baja",'Mapa final'!$AJ$60="Leve"),CONCATENATE("R2C",'Mapa final'!$R$60),"")</f>
        <v/>
      </c>
      <c r="Q57" s="62" t="str">
        <f>IF(AND('Mapa final'!$AH$55="Muy Baja",'Mapa final'!$AJ$55="Menor"),CONCATENATE("R2C",'Mapa final'!$R$55),"")</f>
        <v/>
      </c>
      <c r="R57" s="63" t="str">
        <f>IF(AND('Mapa final'!$AH$56="Muy Baja",'Mapa final'!$AJ$56="Menor"),CONCATENATE("R2C",'Mapa final'!$R$56),"")</f>
        <v/>
      </c>
      <c r="S57" s="63" t="str">
        <f>IF(AND('Mapa final'!$AH$57="Muy Baja",'Mapa final'!$AJ$57="Menor"),CONCATENATE("R2C",'Mapa final'!$R$57),"")</f>
        <v/>
      </c>
      <c r="T57" s="63" t="str">
        <f>IF(AND('Mapa final'!$AH$58="Muy Baja",'Mapa final'!$AJ$58="Menor"),CONCATENATE("R2C",'Mapa final'!$R$58),"")</f>
        <v/>
      </c>
      <c r="U57" s="63" t="str">
        <f>IF(AND('Mapa final'!$AH$59="Muy Baja",'Mapa final'!$AJ$59="Menor"),CONCATENATE("R2C",'Mapa final'!$R$59),"")</f>
        <v/>
      </c>
      <c r="V57" s="64" t="str">
        <f>IF(AND('Mapa final'!$AH$70="Muy Baja",'Mapa final'!$AJ$60="Menor"),CONCATENATE("R2C",'Mapa final'!$R$60),"")</f>
        <v/>
      </c>
      <c r="W57" s="53" t="str">
        <f>IF(AND('Mapa final'!$AH$55="Muy Baja",'Mapa final'!$AJ$55="Moderado"),CONCATENATE("R2C",'Mapa final'!$R$55),"")</f>
        <v/>
      </c>
      <c r="X57" s="54" t="str">
        <f>IF(AND('Mapa final'!$AH$56="Muy Baja",'Mapa final'!$AJ$56="Moderado"),CONCATENATE("R2C",'Mapa final'!$R$56),"")</f>
        <v/>
      </c>
      <c r="Y57" s="54" t="str">
        <f>IF(AND('Mapa final'!$AH$57="Muy Baja",'Mapa final'!$AJ$57="Moderado"),CONCATENATE("R2C",'Mapa final'!$R$57),"")</f>
        <v/>
      </c>
      <c r="Z57" s="54" t="str">
        <f>IF(AND('Mapa final'!$AH$58="Muy Baja",'Mapa final'!$AJ$58="Moderado"),CONCATENATE("R2C",'Mapa final'!$R$58),"")</f>
        <v/>
      </c>
      <c r="AA57" s="54" t="str">
        <f>IF(AND('Mapa final'!$AH$59="Muy Baja",'Mapa final'!$AJ$59="Moderado"),CONCATENATE("R2C",'Mapa final'!$R$59),"")</f>
        <v/>
      </c>
      <c r="AB57" s="55" t="str">
        <f>IF(AND('Mapa final'!$AH$70="Muy Baja",'Mapa final'!$AJ$60="Moderado"),CONCATENATE("R2C",'Mapa final'!$R$60),"")</f>
        <v/>
      </c>
      <c r="AC57" s="38" t="str">
        <f>IF(AND('Mapa final'!$AH$55="Muy Baja",'Mapa final'!$AJ$55="Mayor"),CONCATENATE("R2C",'Mapa final'!$R$55),"")</f>
        <v/>
      </c>
      <c r="AD57" s="39" t="str">
        <f>IF(AND('Mapa final'!$AH$56="Muy Baja",'Mapa final'!$AJ$56="Mayor"),CONCATENATE("R2C",'Mapa final'!$R$56),"")</f>
        <v/>
      </c>
      <c r="AE57" s="39" t="str">
        <f>IF(AND('Mapa final'!$AH$57="Muy Baja",'Mapa final'!$AJ$57="Mayor"),CONCATENATE("R2C",'Mapa final'!$R$57),"")</f>
        <v/>
      </c>
      <c r="AF57" s="39" t="str">
        <f>IF(AND('Mapa final'!$AH$58="Muy Baja",'Mapa final'!$AJ$58="Mayor"),CONCATENATE("R2C",'Mapa final'!$R$58),"")</f>
        <v/>
      </c>
      <c r="AG57" s="39" t="str">
        <f>IF(AND('Mapa final'!$AH$59="Muy Baja",'Mapa final'!$AJ$59="Mayor"),CONCATENATE("R2C",'Mapa final'!$R$59),"")</f>
        <v/>
      </c>
      <c r="AH57" s="40" t="str">
        <f>IF(AND('Mapa final'!$AH$70="Muy Baja",'Mapa final'!$AJ$60="Mayor"),CONCATENATE("R2C",'Mapa final'!$R$60),"")</f>
        <v/>
      </c>
      <c r="AI57" s="41" t="str">
        <f>IF(AND('Mapa final'!$AH$55="Muy Baja",'Mapa final'!$AJ$55="Catastrófico"),CONCATENATE("R2C",'Mapa final'!$R$55),"")</f>
        <v/>
      </c>
      <c r="AJ57" s="42" t="str">
        <f>IF(AND('Mapa final'!$AH$56="Muy Baja",'Mapa final'!$AJ$56="Catastrófico"),CONCATENATE("R2C",'Mapa final'!$R$56),"")</f>
        <v/>
      </c>
      <c r="AK57" s="42" t="str">
        <f>IF(AND('Mapa final'!$AH$57="Muy Baja",'Mapa final'!$AJ$57="Catastrófico"),CONCATENATE("R2C",'Mapa final'!$R$57),"")</f>
        <v/>
      </c>
      <c r="AL57" s="42" t="str">
        <f>IF(AND('Mapa final'!$AH$58="Muy Baja",'Mapa final'!$AJ$58="Catastrófico"),CONCATENATE("R2C",'Mapa final'!$R$58),"")</f>
        <v/>
      </c>
      <c r="AM57" s="42" t="str">
        <f>IF(AND('Mapa final'!$AH$59="Muy Baja",'Mapa final'!$AJ$59="Catastrófico"),CONCATENATE("R2C",'Mapa final'!$R$59),"")</f>
        <v/>
      </c>
      <c r="AN57" s="43" t="str">
        <f>IF(AND('Mapa final'!$AH$70="Muy Baja",'Mapa final'!$AJ$60="Catastrófico"),CONCATENATE("R2C",'Mapa final'!$R$60),"")</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row>
    <row r="58" spans="2:81" ht="15" customHeight="1">
      <c r="B58" s="68"/>
      <c r="C58" s="497"/>
      <c r="D58" s="497"/>
      <c r="E58" s="498"/>
      <c r="F58" s="587"/>
      <c r="G58" s="588"/>
      <c r="H58" s="588"/>
      <c r="I58" s="588"/>
      <c r="J58" s="589"/>
      <c r="K58" s="62" t="str">
        <f>IF(AND('Mapa final'!$AH$61="Muy Baja",'Mapa final'!$AJ$61="Leve"),CONCATENATE("R2C",'Mapa final'!$R$61),"")</f>
        <v/>
      </c>
      <c r="L58" s="63" t="str">
        <f>IF(AND('Mapa final'!$AH$62="Muy Baja",'Mapa final'!$AJ$62="Leve"),CONCATENATE("R2C",'Mapa final'!$R$62),"")</f>
        <v/>
      </c>
      <c r="M58" s="63" t="str">
        <f>IF(AND('Mapa final'!$AH$63="Muy Baja",'Mapa final'!$AJ$63="Leve"),CONCATENATE("R2C",'Mapa final'!$R$63),"")</f>
        <v/>
      </c>
      <c r="N58" s="63" t="str">
        <f>IF(AND('Mapa final'!$AH$64="Muy Baja",'Mapa final'!$AJ$64="Leve"),CONCATENATE("R2C",'Mapa final'!$R$64),"")</f>
        <v/>
      </c>
      <c r="O58" s="63" t="str">
        <f>IF(AND('Mapa final'!$AH$65="Muy Baja",'Mapa final'!$AJ$65="Leve"),CONCATENATE("R2C",'Mapa final'!$R$65),"")</f>
        <v/>
      </c>
      <c r="P58" s="64" t="str">
        <f>IF(AND('Mapa final'!$AH$66="Muy Baja",'Mapa final'!$AJ$66="Leve"),CONCATENATE("R2C",'Mapa final'!$R$66),"")</f>
        <v/>
      </c>
      <c r="Q58" s="62" t="str">
        <f>IF(AND('Mapa final'!$AH$61="Muy Baja",'Mapa final'!$AJ$61="Menor"),CONCATENATE("R2C",'Mapa final'!$R$61),"")</f>
        <v/>
      </c>
      <c r="R58" s="63" t="str">
        <f>IF(AND('Mapa final'!$AH$62="Muy Baja",'Mapa final'!$AJ$62="Menor"),CONCATENATE("R2C",'Mapa final'!$R$62),"")</f>
        <v/>
      </c>
      <c r="S58" s="63" t="str">
        <f>IF(AND('Mapa final'!$AH$63="Muy Baja",'Mapa final'!$AJ$63="Menor"),CONCATENATE("R2C",'Mapa final'!$R$63),"")</f>
        <v/>
      </c>
      <c r="T58" s="63" t="str">
        <f>IF(AND('Mapa final'!$AH$64="Muy Baja",'Mapa final'!$AJ$64="Menor"),CONCATENATE("R2C",'Mapa final'!$R$64),"")</f>
        <v/>
      </c>
      <c r="U58" s="63" t="str">
        <f>IF(AND('Mapa final'!$AH$65="Muy Baja",'Mapa final'!$AJ$65="Menor"),CONCATENATE("R2C",'Mapa final'!$R$65),"")</f>
        <v/>
      </c>
      <c r="V58" s="64" t="str">
        <f>IF(AND('Mapa final'!$AH$66="Muy Baja",'Mapa final'!$AJ$66="Menor"),CONCATENATE("R2C",'Mapa final'!$R$66),"")</f>
        <v/>
      </c>
      <c r="W58" s="53" t="str">
        <f>IF(AND('Mapa final'!$AH$61="Muy Baja",'Mapa final'!$AJ$61="Moderado"),CONCATENATE("R2C",'Mapa final'!$R$61),"")</f>
        <v/>
      </c>
      <c r="X58" s="54" t="str">
        <f>IF(AND('Mapa final'!$AH$62="Muy Baja",'Mapa final'!$AJ$62="Moderado"),CONCATENATE("R2C",'Mapa final'!$R$62),"")</f>
        <v/>
      </c>
      <c r="Y58" s="54" t="str">
        <f>IF(AND('Mapa final'!$AH$63="Muy Baja",'Mapa final'!$AJ$63="Moderado"),CONCATENATE("R2C",'Mapa final'!$R$63),"")</f>
        <v/>
      </c>
      <c r="Z58" s="54" t="str">
        <f>IF(AND('Mapa final'!$AH$64="Muy Baja",'Mapa final'!$AJ$64="Moderado"),CONCATENATE("R2C",'Mapa final'!$R$64),"")</f>
        <v/>
      </c>
      <c r="AA58" s="54" t="str">
        <f>IF(AND('Mapa final'!$AH$65="Muy Baja",'Mapa final'!$AJ$65="Moderado"),CONCATENATE("R2C",'Mapa final'!$R$65),"")</f>
        <v/>
      </c>
      <c r="AB58" s="55" t="str">
        <f>IF(AND('Mapa final'!$AH$66="Muy Baja",'Mapa final'!$AJ$66="Moderado"),CONCATENATE("R2C",'Mapa final'!$R$66),"")</f>
        <v/>
      </c>
      <c r="AC58" s="38" t="str">
        <f>IF(AND('Mapa final'!$AH$61="Muy Baja",'Mapa final'!$AJ$61="Mayor"),CONCATENATE("R2C",'Mapa final'!$R$61),"")</f>
        <v/>
      </c>
      <c r="AD58" s="39" t="str">
        <f>IF(AND('Mapa final'!$AH$62="Muy Baja",'Mapa final'!$AJ$62="Mayor"),CONCATENATE("R2C",'Mapa final'!$R$62),"")</f>
        <v/>
      </c>
      <c r="AE58" s="39" t="str">
        <f>IF(AND('Mapa final'!$AH$63="Muy Baja",'Mapa final'!$AJ$63="Mayor"),CONCATENATE("R2C",'Mapa final'!$R$63),"")</f>
        <v/>
      </c>
      <c r="AF58" s="39" t="str">
        <f>IF(AND('Mapa final'!$AH$64="Muy Baja",'Mapa final'!$AJ$64="Mayor"),CONCATENATE("R2C",'Mapa final'!$R$64),"")</f>
        <v/>
      </c>
      <c r="AG58" s="39" t="str">
        <f>IF(AND('Mapa final'!$AH$65="Muy Baja",'Mapa final'!$AJ$65="Mayor"),CONCATENATE("R2C",'Mapa final'!$R$65),"")</f>
        <v/>
      </c>
      <c r="AH58" s="40" t="str">
        <f>IF(AND('Mapa final'!$AH$66="Muy Baja",'Mapa final'!$AJ$66="Mayor"),CONCATENATE("R2C",'Mapa final'!$R$66),"")</f>
        <v/>
      </c>
      <c r="AI58" s="41" t="str">
        <f>IF(AND('Mapa final'!$AH$61="Muy Baja",'Mapa final'!$AJ$61="Catastrófico"),CONCATENATE("R2C",'Mapa final'!$R$61),"")</f>
        <v/>
      </c>
      <c r="AJ58" s="42" t="str">
        <f>IF(AND('Mapa final'!$AH$62="Muy Baja",'Mapa final'!$AJ$62="Catastrófico"),CONCATENATE("R2C",'Mapa final'!$R$62),"")</f>
        <v/>
      </c>
      <c r="AK58" s="42" t="str">
        <f>IF(AND('Mapa final'!$AH$63="Muy Baja",'Mapa final'!$AJ$63="Catastrófico"),CONCATENATE("R2C",'Mapa final'!$R$63),"")</f>
        <v/>
      </c>
      <c r="AL58" s="42" t="str">
        <f>IF(AND('Mapa final'!$AH$64="Muy Baja",'Mapa final'!$AJ$64="Catastrófico"),CONCATENATE("R2C",'Mapa final'!$R$64),"")</f>
        <v/>
      </c>
      <c r="AM58" s="42" t="str">
        <f>IF(AND('Mapa final'!$AH$65="Muy Baja",'Mapa final'!$AJ$65="Catastrófico"),CONCATENATE("R2C",'Mapa final'!$R$65),"")</f>
        <v/>
      </c>
      <c r="AN58" s="43" t="str">
        <f>IF(AND('Mapa final'!$AH$66="Muy Baja",'Mapa final'!$AJ$66="Catastrófico"),CONCATENATE("R2C",'Mapa final'!$R$66),"")</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row>
    <row r="59" spans="2:81" ht="15" customHeight="1">
      <c r="B59" s="68"/>
      <c r="C59" s="497"/>
      <c r="D59" s="497"/>
      <c r="E59" s="498"/>
      <c r="F59" s="587"/>
      <c r="G59" s="588"/>
      <c r="H59" s="588"/>
      <c r="I59" s="588"/>
      <c r="J59" s="589"/>
      <c r="K59" s="62" t="str">
        <f>IF(AND('Mapa final'!$AH$67="Muy Baja",'Mapa final'!$AJ$67="Leve"),CONCATENATE("R2C",'Mapa final'!$R$67),"")</f>
        <v/>
      </c>
      <c r="L59" s="63" t="str">
        <f>IF(AND('Mapa final'!$AH$68="Muy Baja",'Mapa final'!$AJ$68="Leve"),CONCATENATE("R2C",'Mapa final'!$R$68),"")</f>
        <v/>
      </c>
      <c r="M59" s="63" t="str">
        <f>IF(AND('Mapa final'!$AH$69="Muy Baja",'Mapa final'!$AJ$69="Leve"),CONCATENATE("R2C",'Mapa final'!$R$69),"")</f>
        <v/>
      </c>
      <c r="N59" s="63" t="str">
        <f>IF(AND('Mapa final'!$AH$70="Muy Baja",'Mapa final'!$AJ$70="Leve"),CONCATENATE("R2C",'Mapa final'!$R$70),"")</f>
        <v/>
      </c>
      <c r="O59" s="63" t="str">
        <f>IF(AND('Mapa final'!$AH$71="Muy Baja",'Mapa final'!$AJ$71="Leve"),CONCATENATE("R2C",'Mapa final'!$R$71),"")</f>
        <v/>
      </c>
      <c r="P59" s="64" t="str">
        <f>IF(AND('Mapa final'!$AH$72="Muy Baja",'Mapa final'!$AJ$72="Leve"),CONCATENATE("R2C",'Mapa final'!$R$72),"")</f>
        <v/>
      </c>
      <c r="Q59" s="62" t="str">
        <f>IF(AND('Mapa final'!$AH$67="Muy Baja",'Mapa final'!$AJ$67="Menor"),CONCATENATE("R2C",'Mapa final'!$R$67),"")</f>
        <v/>
      </c>
      <c r="R59" s="63" t="str">
        <f>IF(AND('Mapa final'!$AH$68="Muy Baja",'Mapa final'!$AJ$68="Menor"),CONCATENATE("R2C",'Mapa final'!$R$68),"")</f>
        <v/>
      </c>
      <c r="S59" s="63" t="str">
        <f>IF(AND('Mapa final'!$AH$69="Muy Baja",'Mapa final'!$AJ$69="Menor"),CONCATENATE("R2C",'Mapa final'!$R$69),"")</f>
        <v/>
      </c>
      <c r="T59" s="63" t="str">
        <f>IF(AND('Mapa final'!$AH$70="Muy Baja",'Mapa final'!$AJ$70="Menor"),CONCATENATE("R2C",'Mapa final'!$R$70),"")</f>
        <v/>
      </c>
      <c r="U59" s="63" t="str">
        <f>IF(AND('Mapa final'!$AH$71="Muy Baja",'Mapa final'!$AJ$71="Menor"),CONCATENATE("R2C",'Mapa final'!$R$71),"")</f>
        <v/>
      </c>
      <c r="V59" s="64" t="str">
        <f>IF(AND('Mapa final'!$AH$72="Muy Baja",'Mapa final'!$AJ$72="Menor"),CONCATENATE("R2C",'Mapa final'!$R$72),"")</f>
        <v/>
      </c>
      <c r="W59" s="53" t="str">
        <f>IF(AND('Mapa final'!$AH$67="Muy Baja",'Mapa final'!$AJ$67="Moderado"),CONCATENATE("R2C",'Mapa final'!$R$67),"")</f>
        <v/>
      </c>
      <c r="X59" s="54" t="str">
        <f>IF(AND('Mapa final'!$AH$68="Muy Baja",'Mapa final'!$AJ$68="Moderado"),CONCATENATE("R2C",'Mapa final'!$R$68),"")</f>
        <v/>
      </c>
      <c r="Y59" s="54" t="str">
        <f>IF(AND('Mapa final'!$AH$69="Muy Baja",'Mapa final'!$AJ$69="Moderado"),CONCATENATE("R2C",'Mapa final'!$R$69),"")</f>
        <v/>
      </c>
      <c r="Z59" s="54" t="str">
        <f>IF(AND('Mapa final'!$AH$70="Muy Baja",'Mapa final'!$AJ$70="Moderado"),CONCATENATE("R2C",'Mapa final'!$R$70),"")</f>
        <v/>
      </c>
      <c r="AA59" s="54" t="str">
        <f>IF(AND('Mapa final'!$AH$71="Muy Baja",'Mapa final'!$AJ$71="Moderado"),CONCATENATE("R2C",'Mapa final'!$R$71),"")</f>
        <v/>
      </c>
      <c r="AB59" s="55" t="str">
        <f>IF(AND('Mapa final'!$AH$72="Muy Baja",'Mapa final'!$AJ$72="Moderado"),CONCATENATE("R2C",'Mapa final'!$R$72),"")</f>
        <v/>
      </c>
      <c r="AC59" s="38" t="str">
        <f>IF(AND('Mapa final'!$AH$67="Muy Baja",'Mapa final'!$AJ$67="Mayor"),CONCATENATE("R2C",'Mapa final'!$R$67),"")</f>
        <v/>
      </c>
      <c r="AD59" s="39" t="str">
        <f>IF(AND('Mapa final'!$AH$68="Muy Baja",'Mapa final'!$AJ$68="Mayor"),CONCATENATE("R2C",'Mapa final'!$R$68),"")</f>
        <v/>
      </c>
      <c r="AE59" s="39" t="str">
        <f>IF(AND('Mapa final'!$AH$69="Muy Baja",'Mapa final'!$AJ$69="Mayor"),CONCATENATE("R2C",'Mapa final'!$R$69),"")</f>
        <v/>
      </c>
      <c r="AF59" s="39" t="str">
        <f>IF(AND('Mapa final'!$AH$70="Muy Baja",'Mapa final'!$AJ$70="Mayor"),CONCATENATE("R2C",'Mapa final'!$R$70),"")</f>
        <v/>
      </c>
      <c r="AG59" s="39" t="str">
        <f>IF(AND('Mapa final'!$AH$71="Muy Baja",'Mapa final'!$AJ$71="Mayor"),CONCATENATE("R2C",'Mapa final'!$R$71),"")</f>
        <v/>
      </c>
      <c r="AH59" s="40" t="str">
        <f>IF(AND('Mapa final'!$AH$72="Muy Baja",'Mapa final'!$AJ$72="Mayor"),CONCATENATE("R2C",'Mapa final'!$R$72),"")</f>
        <v/>
      </c>
      <c r="AI59" s="41" t="str">
        <f>IF(AND('Mapa final'!$AH$67="Muy Baja",'Mapa final'!$AJ$67="Catastrófico"),CONCATENATE("R2C",'Mapa final'!$R$67),"")</f>
        <v/>
      </c>
      <c r="AJ59" s="42" t="str">
        <f>IF(AND('Mapa final'!$AH$68="Muy Baja",'Mapa final'!$AJ$68="Catastrófico"),CONCATENATE("R2C",'Mapa final'!$R$68),"")</f>
        <v/>
      </c>
      <c r="AK59" s="42" t="str">
        <f>IF(AND('Mapa final'!$AH$69="Muy Baja",'Mapa final'!$AJ$69="Catastrófico"),CONCATENATE("R2C",'Mapa final'!$R$69),"")</f>
        <v/>
      </c>
      <c r="AL59" s="42" t="str">
        <f>IF(AND('Mapa final'!$AH$70="Muy Baja",'Mapa final'!$AJ$70="Catastrófico"),CONCATENATE("R2C",'Mapa final'!$R$70),"")</f>
        <v/>
      </c>
      <c r="AM59" s="42" t="str">
        <f>IF(AND('Mapa final'!$AH$71="Muy Baja",'Mapa final'!$AJ$71="Catastrófico"),CONCATENATE("R2C",'Mapa final'!$R$71),"")</f>
        <v/>
      </c>
      <c r="AN59" s="43" t="str">
        <f>IF(AND('Mapa final'!$AH$72="Muy Baja",'Mapa final'!$AJ$72="Catastrófico"),CONCATENATE("R2C",'Mapa final'!$R$72),"")</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c r="B60" s="68"/>
      <c r="C60" s="497"/>
      <c r="D60" s="497"/>
      <c r="E60" s="498"/>
      <c r="F60" s="587"/>
      <c r="G60" s="588"/>
      <c r="H60" s="588"/>
      <c r="I60" s="588"/>
      <c r="J60" s="589"/>
      <c r="K60" s="62" t="str">
        <f>IF(AND('Mapa final'!$AH$73="Muy Baja",'Mapa final'!$AJ$73="Leve"),CONCATENATE("R2C",'Mapa final'!$R$73),"")</f>
        <v/>
      </c>
      <c r="L60" s="63" t="str">
        <f>IF(AND('Mapa final'!$AH$74="Muy Baja",'Mapa final'!$AJ$74="Leve"),CONCATENATE("R2C",'Mapa final'!$R$74),"")</f>
        <v/>
      </c>
      <c r="M60" s="63" t="str">
        <f>IF(AND('Mapa final'!$AH$75="Muy Baja",'Mapa final'!$AJ$75="Leve"),CONCATENATE("R2C",'Mapa final'!$R$75),"")</f>
        <v/>
      </c>
      <c r="N60" s="63" t="str">
        <f>IF(AND('Mapa final'!$AH$76="Muy Baja",'Mapa final'!$AJ$76="Leve"),CONCATENATE("R2C",'Mapa final'!$R$76),"")</f>
        <v/>
      </c>
      <c r="O60" s="63" t="str">
        <f>IF(AND('Mapa final'!$AH$77="Muy Baja",'Mapa final'!$AJ$77="Leve"),CONCATENATE("R2C",'Mapa final'!$R$77),"")</f>
        <v/>
      </c>
      <c r="P60" s="64" t="str">
        <f>IF(AND('Mapa final'!$AH$78="Muy Baja",'Mapa final'!$AJ$78="Leve"),CONCATENATE("R2C",'Mapa final'!$R$78),"")</f>
        <v/>
      </c>
      <c r="Q60" s="62" t="str">
        <f>IF(AND('Mapa final'!$AH$73="Muy Baja",'Mapa final'!$AJ$73="Menor"),CONCATENATE("R2C",'Mapa final'!$R$73),"")</f>
        <v/>
      </c>
      <c r="R60" s="63" t="str">
        <f>IF(AND('Mapa final'!$AH$74="Muy Baja",'Mapa final'!$AJ$74="Menor"),CONCATENATE("R2C",'Mapa final'!$R$74),"")</f>
        <v/>
      </c>
      <c r="S60" s="63" t="str">
        <f>IF(AND('Mapa final'!$AH$75="Muy Baja",'Mapa final'!$AJ$75="Menor"),CONCATENATE("R2C",'Mapa final'!$R$75),"")</f>
        <v/>
      </c>
      <c r="T60" s="63" t="str">
        <f>IF(AND('Mapa final'!$AH$76="Muy Baja",'Mapa final'!$AJ$76="Menor"),CONCATENATE("R2C",'Mapa final'!$R$76),"")</f>
        <v/>
      </c>
      <c r="U60" s="63" t="str">
        <f>IF(AND('Mapa final'!$AH$77="Muy Baja",'Mapa final'!$AJ$77="Menor"),CONCATENATE("R2C",'Mapa final'!$R$77),"")</f>
        <v/>
      </c>
      <c r="V60" s="64" t="str">
        <f>IF(AND('Mapa final'!$AH$78="Muy Baja",'Mapa final'!$AJ$78="Menor"),CONCATENATE("R2C",'Mapa final'!$R$78),"")</f>
        <v/>
      </c>
      <c r="W60" s="53" t="str">
        <f>IF(AND('Mapa final'!$AH$73="Muy Baja",'Mapa final'!$AJ$73="Moderado"),CONCATENATE("R2C",'Mapa final'!$R$73),"")</f>
        <v/>
      </c>
      <c r="X60" s="54" t="str">
        <f>IF(AND('Mapa final'!$AH$74="Muy Baja",'Mapa final'!$AJ$74="Moderado"),CONCATENATE("R2C",'Mapa final'!$R$74),"")</f>
        <v/>
      </c>
      <c r="Y60" s="54" t="str">
        <f>IF(AND('Mapa final'!$AH$75="Muy Baja",'Mapa final'!$AJ$75="Moderado"),CONCATENATE("R2C",'Mapa final'!$R$75),"")</f>
        <v/>
      </c>
      <c r="Z60" s="54" t="str">
        <f>IF(AND('Mapa final'!$AH$76="Muy Baja",'Mapa final'!$AJ$76="Moderado"),CONCATENATE("R2C",'Mapa final'!$R$76),"")</f>
        <v/>
      </c>
      <c r="AA60" s="54" t="str">
        <f>IF(AND('Mapa final'!$AH$77="Muy Baja",'Mapa final'!$AJ$77="Moderado"),CONCATENATE("R2C",'Mapa final'!$R$77),"")</f>
        <v/>
      </c>
      <c r="AB60" s="55" t="str">
        <f>IF(AND('Mapa final'!$AH$78="Muy Baja",'Mapa final'!$AJ$78="Moderado"),CONCATENATE("R2C",'Mapa final'!$R$78),"")</f>
        <v/>
      </c>
      <c r="AC60" s="38" t="str">
        <f>IF(AND('Mapa final'!$AH$73="Muy Baja",'Mapa final'!$AJ$73="Mayor"),CONCATENATE("R2C",'Mapa final'!$R$73),"")</f>
        <v/>
      </c>
      <c r="AD60" s="39" t="str">
        <f>IF(AND('Mapa final'!$AH$74="Muy Baja",'Mapa final'!$AJ$74="Mayor"),CONCATENATE("R2C",'Mapa final'!$R$74),"")</f>
        <v/>
      </c>
      <c r="AE60" s="39" t="str">
        <f>IF(AND('Mapa final'!$AH$75="Muy Baja",'Mapa final'!$AJ$75="Mayor"),CONCATENATE("R2C",'Mapa final'!$R$75),"")</f>
        <v/>
      </c>
      <c r="AF60" s="39" t="str">
        <f>IF(AND('Mapa final'!$AH$76="Muy Baja",'Mapa final'!$AJ$76="Mayor"),CONCATENATE("R2C",'Mapa final'!$R$76),"")</f>
        <v/>
      </c>
      <c r="AG60" s="39" t="str">
        <f>IF(AND('Mapa final'!$AH$77="Muy Baja",'Mapa final'!$AJ$77="Mayor"),CONCATENATE("R2C",'Mapa final'!$R$77),"")</f>
        <v/>
      </c>
      <c r="AH60" s="40" t="str">
        <f>IF(AND('Mapa final'!$AH$78="Muy Baja",'Mapa final'!$AJ$78="Mayor"),CONCATENATE("R2C",'Mapa final'!$R$78),"")</f>
        <v/>
      </c>
      <c r="AI60" s="41" t="str">
        <f>IF(AND('Mapa final'!$AH$73="Muy Baja",'Mapa final'!$AJ$73="Catastrófico"),CONCATENATE("R2C",'Mapa final'!$R$73),"")</f>
        <v/>
      </c>
      <c r="AJ60" s="42" t="str">
        <f>IF(AND('Mapa final'!$AH$74="Muy Baja",'Mapa final'!$AJ$74="Catastrófico"),CONCATENATE("R2C",'Mapa final'!$R$74),"")</f>
        <v/>
      </c>
      <c r="AK60" s="42" t="str">
        <f>IF(AND('Mapa final'!$AH$75="Muy Baja",'Mapa final'!$AJ$75="Catastrófico"),CONCATENATE("R2C",'Mapa final'!$R$75),"")</f>
        <v/>
      </c>
      <c r="AL60" s="42" t="str">
        <f>IF(AND('Mapa final'!$AH$76="Muy Baja",'Mapa final'!$AJ$76="Catastrófico"),CONCATENATE("R2C",'Mapa final'!$R$76),"")</f>
        <v/>
      </c>
      <c r="AM60" s="42" t="str">
        <f>IF(AND('Mapa final'!$AH$77="Muy Baja",'Mapa final'!$AJ$77="Catastrófico"),CONCATENATE("R2C",'Mapa final'!$R$77),"")</f>
        <v/>
      </c>
      <c r="AN60" s="43" t="str">
        <f>IF(AND('Mapa final'!$AH$78="Muy Baja",'Mapa final'!$AJ$78="Catastrófico"),CONCATENATE("R2C",'Mapa final'!$R$78),"")</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c r="B61" s="68"/>
      <c r="C61" s="497"/>
      <c r="D61" s="497"/>
      <c r="E61" s="498"/>
      <c r="F61" s="590"/>
      <c r="G61" s="591"/>
      <c r="H61" s="591"/>
      <c r="I61" s="591"/>
      <c r="J61" s="592"/>
      <c r="K61" s="65" t="str">
        <f>IF(AND('Mapa final'!$AH$79="Muy Baja",'Mapa final'!$AJ$79="Leve"),CONCATENATE("R2C",'Mapa final'!$R$79),"")</f>
        <v/>
      </c>
      <c r="L61" s="66" t="str">
        <f>IF(AND('Mapa final'!$AH$80="Muy Baja",'Mapa final'!$AJ$80="Leve"),CONCATENATE("R2C",'Mapa final'!$R$80),"")</f>
        <v/>
      </c>
      <c r="M61" s="66" t="str">
        <f>IF(AND('Mapa final'!$AH$81="Muy Baja",'Mapa final'!$AJ$81="Leve"),CONCATENATE("R2C",'Mapa final'!$R$81),"")</f>
        <v/>
      </c>
      <c r="N61" s="66" t="str">
        <f>IF(AND('Mapa final'!$AH$82="Muy Baja",'Mapa final'!$AJ$82="Leve"),CONCATENATE("R2C",'Mapa final'!$R$82),"")</f>
        <v/>
      </c>
      <c r="O61" s="66" t="str">
        <f>IF(AND('Mapa final'!$AH$84="Muy Baja",'Mapa final'!$AJ$84="Leve"),CONCATENATE("R2C",'Mapa final'!$R$84),"")</f>
        <v/>
      </c>
      <c r="P61" s="67" t="str">
        <f>IF(AND('Mapa final'!$AH$85="Muy Baja",'Mapa final'!$AJ$85="Leve"),CONCATENATE("R2C",'Mapa final'!$R$85),"")</f>
        <v/>
      </c>
      <c r="Q61" s="65" t="str">
        <f>IF(AND('Mapa final'!$AH$79="Muy Baja",'Mapa final'!$AJ$79="Menor"),CONCATENATE("R2C",'Mapa final'!$R$79),"")</f>
        <v/>
      </c>
      <c r="R61" s="66" t="str">
        <f>IF(AND('Mapa final'!$AH$80="Muy Baja",'Mapa final'!$AJ$80="Menor"),CONCATENATE("R2C",'Mapa final'!$R$80),"")</f>
        <v/>
      </c>
      <c r="S61" s="66" t="str">
        <f>IF(AND('Mapa final'!$AH$81="Muy Baja",'Mapa final'!$AJ$81="Menor"),CONCATENATE("R2C",'Mapa final'!$R$81),"")</f>
        <v/>
      </c>
      <c r="T61" s="66" t="str">
        <f>IF(AND('Mapa final'!$AH$82="Muy Baja",'Mapa final'!$AJ$82="Menor"),CONCATENATE("R2C",'Mapa final'!$R$82),"")</f>
        <v/>
      </c>
      <c r="U61" s="66" t="str">
        <f>IF(AND('Mapa final'!$AH$84="Muy Baja",'Mapa final'!$AJ$84="Menor"),CONCATENATE("R2C",'Mapa final'!$R$84),"")</f>
        <v/>
      </c>
      <c r="V61" s="67" t="str">
        <f>IF(AND('Mapa final'!$AH$85="Muy Baja",'Mapa final'!$AJ$85="Menor"),CONCATENATE("R2C",'Mapa final'!$R$85),"")</f>
        <v/>
      </c>
      <c r="W61" s="56" t="str">
        <f>IF(AND('Mapa final'!$AH$79="Muy Baja",'Mapa final'!$AJ$79="Moderado"),CONCATENATE("R2C",'Mapa final'!$R$79),"")</f>
        <v/>
      </c>
      <c r="X61" s="57" t="str">
        <f>IF(AND('Mapa final'!$AH$80="Muy Baja",'Mapa final'!$AJ$80="Moderado"),CONCATENATE("R2C",'Mapa final'!$R$80),"")</f>
        <v/>
      </c>
      <c r="Y61" s="57" t="str">
        <f>IF(AND('Mapa final'!$AH$81="Muy Baja",'Mapa final'!$AJ$81="Moderado"),CONCATENATE("R2C",'Mapa final'!$R$81),"")</f>
        <v/>
      </c>
      <c r="Z61" s="57" t="str">
        <f>IF(AND('Mapa final'!$AH$82="Muy Baja",'Mapa final'!$AJ$82="Moderado"),CONCATENATE("R2C",'Mapa final'!$R$82),"")</f>
        <v/>
      </c>
      <c r="AA61" s="57" t="str">
        <f>IF(AND('Mapa final'!$AH$84="Muy Baja",'Mapa final'!$AJ$84="Moderado"),CONCATENATE("R2C",'Mapa final'!$R$84),"")</f>
        <v/>
      </c>
      <c r="AB61" s="58" t="str">
        <f>IF(AND('Mapa final'!$AH$85="Muy Baja",'Mapa final'!$AJ$85="Moderado"),CONCATENATE("R2C",'Mapa final'!$R$85),"")</f>
        <v/>
      </c>
      <c r="AC61" s="44" t="str">
        <f>IF(AND('Mapa final'!$AH$79="Muy Baja",'Mapa final'!$AJ$79="Mayor"),CONCATENATE("R2C",'Mapa final'!$R$79),"")</f>
        <v/>
      </c>
      <c r="AD61" s="45" t="str">
        <f>IF(AND('Mapa final'!$AH$80="Muy Baja",'Mapa final'!$AJ$80="Mayor"),CONCATENATE("R2C",'Mapa final'!$R$80),"")</f>
        <v/>
      </c>
      <c r="AE61" s="45" t="str">
        <f>IF(AND('Mapa final'!$AH$81="Muy Baja",'Mapa final'!$AJ$81="Mayor"),CONCATENATE("R2C",'Mapa final'!$R$81),"")</f>
        <v/>
      </c>
      <c r="AF61" s="45" t="str">
        <f>IF(AND('Mapa final'!$AH$82="Muy Baja",'Mapa final'!$AJ$82="Mayor"),CONCATENATE("R2C",'Mapa final'!$R$82),"")</f>
        <v/>
      </c>
      <c r="AG61" s="45" t="str">
        <f>IF(AND('Mapa final'!$AH$84="Muy Baja",'Mapa final'!$AJ$84="Mayor"),CONCATENATE("R2C",'Mapa final'!$R$84),"")</f>
        <v/>
      </c>
      <c r="AH61" s="46" t="str">
        <f>IF(AND('Mapa final'!$AH$85="Muy Baja",'Mapa final'!$AJ$85="Mayor"),CONCATENATE("R2C",'Mapa final'!$R$85),"")</f>
        <v/>
      </c>
      <c r="AI61" s="47" t="str">
        <f>IF(AND('Mapa final'!$AH$79="Muy Baja",'Mapa final'!$AJ$79="Catastrófico"),CONCATENATE("R2C",'Mapa final'!$R$79),"")</f>
        <v/>
      </c>
      <c r="AJ61" s="48" t="str">
        <f>IF(AND('Mapa final'!$AH$80="Muy Baja",'Mapa final'!$AJ$80="Catastrófico"),CONCATENATE("R2C",'Mapa final'!$R$80),"")</f>
        <v/>
      </c>
      <c r="AK61" s="48" t="str">
        <f>IF(AND('Mapa final'!$AH$81="Muy Baja",'Mapa final'!$AJ$81="Catastrófico"),CONCATENATE("R2C",'Mapa final'!$R$81),"")</f>
        <v/>
      </c>
      <c r="AL61" s="48" t="str">
        <f>IF(AND('Mapa final'!$AH$82="Muy Baja",'Mapa final'!$AJ$82="Catastrófico"),CONCATENATE("R2C",'Mapa final'!$R$82),"")</f>
        <v/>
      </c>
      <c r="AM61" s="48" t="str">
        <f>IF(AND('Mapa final'!$AH$84="Muy Baja",'Mapa final'!$AJ$84="Catastrófico"),CONCATENATE("R2C",'Mapa final'!$R$84),"")</f>
        <v/>
      </c>
      <c r="AN61" s="49" t="str">
        <f>IF(AND('Mapa final'!$AH$85="Muy Baja",'Mapa final'!$AJ$85="Catastrófico"),CONCATENATE("R2C",'Mapa final'!$R$85),"")</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c r="B62" s="68"/>
      <c r="C62" s="68"/>
      <c r="D62" s="68"/>
      <c r="E62" s="68"/>
      <c r="F62" s="68"/>
      <c r="G62" s="68"/>
      <c r="H62" s="68"/>
      <c r="I62" s="68"/>
      <c r="J62" s="68"/>
      <c r="K62" s="584" t="s">
        <v>376</v>
      </c>
      <c r="L62" s="585"/>
      <c r="M62" s="585"/>
      <c r="N62" s="585"/>
      <c r="O62" s="585"/>
      <c r="P62" s="586"/>
      <c r="Q62" s="584" t="s">
        <v>377</v>
      </c>
      <c r="R62" s="585"/>
      <c r="S62" s="585"/>
      <c r="T62" s="585"/>
      <c r="U62" s="585"/>
      <c r="V62" s="586"/>
      <c r="W62" s="584" t="s">
        <v>378</v>
      </c>
      <c r="X62" s="585"/>
      <c r="Y62" s="585"/>
      <c r="Z62" s="585"/>
      <c r="AA62" s="585"/>
      <c r="AB62" s="586"/>
      <c r="AC62" s="584" t="s">
        <v>379</v>
      </c>
      <c r="AD62" s="634"/>
      <c r="AE62" s="585"/>
      <c r="AF62" s="585"/>
      <c r="AG62" s="585"/>
      <c r="AH62" s="586"/>
      <c r="AI62" s="584" t="s">
        <v>380</v>
      </c>
      <c r="AJ62" s="585"/>
      <c r="AK62" s="585"/>
      <c r="AL62" s="585"/>
      <c r="AM62" s="585"/>
      <c r="AN62" s="586"/>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c r="B63" s="68"/>
      <c r="C63" s="68"/>
      <c r="D63" s="68"/>
      <c r="E63" s="68"/>
      <c r="F63" s="68"/>
      <c r="G63" s="68"/>
      <c r="H63" s="68"/>
      <c r="I63" s="68"/>
      <c r="J63" s="68"/>
      <c r="K63" s="587"/>
      <c r="L63" s="588"/>
      <c r="M63" s="588"/>
      <c r="N63" s="588"/>
      <c r="O63" s="588"/>
      <c r="P63" s="589"/>
      <c r="Q63" s="587"/>
      <c r="R63" s="588"/>
      <c r="S63" s="588"/>
      <c r="T63" s="588"/>
      <c r="U63" s="588"/>
      <c r="V63" s="589"/>
      <c r="W63" s="587"/>
      <c r="X63" s="588"/>
      <c r="Y63" s="588"/>
      <c r="Z63" s="588"/>
      <c r="AA63" s="588"/>
      <c r="AB63" s="589"/>
      <c r="AC63" s="587"/>
      <c r="AD63" s="588"/>
      <c r="AE63" s="588"/>
      <c r="AF63" s="588"/>
      <c r="AG63" s="588"/>
      <c r="AH63" s="589"/>
      <c r="AI63" s="587"/>
      <c r="AJ63" s="588"/>
      <c r="AK63" s="588"/>
      <c r="AL63" s="588"/>
      <c r="AM63" s="588"/>
      <c r="AN63" s="589"/>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c r="B64" s="68"/>
      <c r="C64" s="68"/>
      <c r="D64" s="68"/>
      <c r="E64" s="68"/>
      <c r="F64" s="68"/>
      <c r="G64" s="68"/>
      <c r="H64" s="68"/>
      <c r="I64" s="68"/>
      <c r="J64" s="68"/>
      <c r="K64" s="587"/>
      <c r="L64" s="588"/>
      <c r="M64" s="588"/>
      <c r="N64" s="588"/>
      <c r="O64" s="588"/>
      <c r="P64" s="589"/>
      <c r="Q64" s="587"/>
      <c r="R64" s="588"/>
      <c r="S64" s="588"/>
      <c r="T64" s="588"/>
      <c r="U64" s="588"/>
      <c r="V64" s="589"/>
      <c r="W64" s="587"/>
      <c r="X64" s="588"/>
      <c r="Y64" s="588"/>
      <c r="Z64" s="588"/>
      <c r="AA64" s="588"/>
      <c r="AB64" s="589"/>
      <c r="AC64" s="587"/>
      <c r="AD64" s="588"/>
      <c r="AE64" s="588"/>
      <c r="AF64" s="588"/>
      <c r="AG64" s="588"/>
      <c r="AH64" s="589"/>
      <c r="AI64" s="587"/>
      <c r="AJ64" s="588"/>
      <c r="AK64" s="588"/>
      <c r="AL64" s="588"/>
      <c r="AM64" s="588"/>
      <c r="AN64" s="589"/>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c r="B65" s="68"/>
      <c r="C65" s="68"/>
      <c r="D65" s="68"/>
      <c r="E65" s="68"/>
      <c r="F65" s="68"/>
      <c r="G65" s="68"/>
      <c r="H65" s="68"/>
      <c r="I65" s="68"/>
      <c r="J65" s="68"/>
      <c r="K65" s="587"/>
      <c r="L65" s="588"/>
      <c r="M65" s="588"/>
      <c r="N65" s="588"/>
      <c r="O65" s="588"/>
      <c r="P65" s="589"/>
      <c r="Q65" s="587"/>
      <c r="R65" s="588"/>
      <c r="S65" s="588"/>
      <c r="T65" s="588"/>
      <c r="U65" s="588"/>
      <c r="V65" s="589"/>
      <c r="W65" s="587"/>
      <c r="X65" s="588"/>
      <c r="Y65" s="588"/>
      <c r="Z65" s="588"/>
      <c r="AA65" s="588"/>
      <c r="AB65" s="589"/>
      <c r="AC65" s="587"/>
      <c r="AD65" s="588"/>
      <c r="AE65" s="588"/>
      <c r="AF65" s="588"/>
      <c r="AG65" s="588"/>
      <c r="AH65" s="589"/>
      <c r="AI65" s="587"/>
      <c r="AJ65" s="588"/>
      <c r="AK65" s="588"/>
      <c r="AL65" s="588"/>
      <c r="AM65" s="588"/>
      <c r="AN65" s="589"/>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c r="B66" s="68"/>
      <c r="C66" s="68"/>
      <c r="D66" s="68"/>
      <c r="E66" s="68"/>
      <c r="F66" s="68"/>
      <c r="G66" s="68"/>
      <c r="H66" s="68"/>
      <c r="I66" s="68"/>
      <c r="J66" s="68"/>
      <c r="K66" s="587"/>
      <c r="L66" s="588"/>
      <c r="M66" s="588"/>
      <c r="N66" s="588"/>
      <c r="O66" s="588"/>
      <c r="P66" s="589"/>
      <c r="Q66" s="587"/>
      <c r="R66" s="588"/>
      <c r="S66" s="588"/>
      <c r="T66" s="588"/>
      <c r="U66" s="588"/>
      <c r="V66" s="589"/>
      <c r="W66" s="587"/>
      <c r="X66" s="588"/>
      <c r="Y66" s="588"/>
      <c r="Z66" s="588"/>
      <c r="AA66" s="588"/>
      <c r="AB66" s="589"/>
      <c r="AC66" s="587"/>
      <c r="AD66" s="588"/>
      <c r="AE66" s="588"/>
      <c r="AF66" s="588"/>
      <c r="AG66" s="588"/>
      <c r="AH66" s="589"/>
      <c r="AI66" s="587"/>
      <c r="AJ66" s="588"/>
      <c r="AK66" s="588"/>
      <c r="AL66" s="588"/>
      <c r="AM66" s="588"/>
      <c r="AN66" s="589"/>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5.75" thickBot="1">
      <c r="B67" s="68"/>
      <c r="C67" s="68"/>
      <c r="D67" s="68"/>
      <c r="E67" s="68"/>
      <c r="F67" s="68"/>
      <c r="G67" s="68"/>
      <c r="H67" s="68"/>
      <c r="I67" s="68"/>
      <c r="J67" s="68"/>
      <c r="K67" s="590"/>
      <c r="L67" s="591"/>
      <c r="M67" s="591"/>
      <c r="N67" s="591"/>
      <c r="O67" s="591"/>
      <c r="P67" s="592"/>
      <c r="Q67" s="590"/>
      <c r="R67" s="591"/>
      <c r="S67" s="591"/>
      <c r="T67" s="591"/>
      <c r="U67" s="591"/>
      <c r="V67" s="592"/>
      <c r="W67" s="590"/>
      <c r="X67" s="591"/>
      <c r="Y67" s="591"/>
      <c r="Z67" s="591"/>
      <c r="AA67" s="591"/>
      <c r="AB67" s="592"/>
      <c r="AC67" s="590"/>
      <c r="AD67" s="591"/>
      <c r="AE67" s="591"/>
      <c r="AF67" s="591"/>
      <c r="AG67" s="591"/>
      <c r="AH67" s="592"/>
      <c r="AI67" s="590"/>
      <c r="AJ67" s="591"/>
      <c r="AK67" s="591"/>
      <c r="AL67" s="591"/>
      <c r="AM67" s="591"/>
      <c r="AN67" s="592"/>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c r="B251" s="68"/>
    </row>
    <row r="252" spans="2:61">
      <c r="B252" s="68"/>
    </row>
    <row r="253" spans="2:61">
      <c r="B253" s="68"/>
    </row>
    <row r="254" spans="2:61">
      <c r="B254" s="68"/>
    </row>
  </sheetData>
  <mergeCells count="24">
    <mergeCell ref="A8:B8"/>
    <mergeCell ref="K62:P67"/>
    <mergeCell ref="Q62:V67"/>
    <mergeCell ref="W62:AB67"/>
    <mergeCell ref="AC62:AH67"/>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C2:J5"/>
    <mergeCell ref="K2:AN5"/>
    <mergeCell ref="AO2:AU2"/>
    <mergeCell ref="AO3:AU3"/>
    <mergeCell ref="AO4:AU4"/>
    <mergeCell ref="AO5:AU5"/>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defaultColWidth="11.42578125" defaultRowHeight="15"/>
  <cols>
    <col min="1" max="1" width="10.28515625" style="116" customWidth="1"/>
    <col min="2" max="2" width="32.42578125" style="116" customWidth="1"/>
    <col min="3" max="3" width="77" style="116" customWidth="1"/>
    <col min="4" max="4" width="21" style="116" customWidth="1"/>
    <col min="5" max="5" width="23.7109375" style="116" customWidth="1"/>
    <col min="6" max="16384" width="11.42578125" style="116"/>
  </cols>
  <sheetData>
    <row r="1" spans="1:6" ht="8.1" customHeight="1"/>
    <row r="2" spans="1:6" ht="15.75" customHeight="1">
      <c r="B2" s="635" t="s">
        <v>383</v>
      </c>
      <c r="C2" s="638" t="s">
        <v>1</v>
      </c>
      <c r="D2" s="389"/>
      <c r="E2" s="204" t="s">
        <v>2</v>
      </c>
      <c r="F2" s="117"/>
    </row>
    <row r="3" spans="1:6" ht="15.75" customHeight="1">
      <c r="B3" s="636"/>
      <c r="C3" s="639"/>
      <c r="D3" s="392"/>
      <c r="E3" s="205" t="s">
        <v>3</v>
      </c>
      <c r="F3" s="117"/>
    </row>
    <row r="4" spans="1:6" ht="16.5" customHeight="1">
      <c r="B4" s="636"/>
      <c r="C4" s="639"/>
      <c r="D4" s="392"/>
      <c r="E4" s="205" t="s">
        <v>4</v>
      </c>
      <c r="F4" s="117"/>
    </row>
    <row r="5" spans="1:6" ht="15" customHeight="1">
      <c r="B5" s="637"/>
      <c r="C5" s="640"/>
      <c r="D5" s="395"/>
      <c r="E5" s="206" t="s">
        <v>5</v>
      </c>
      <c r="F5" s="117"/>
    </row>
    <row r="7" spans="1:6">
      <c r="A7" s="641" t="s">
        <v>15</v>
      </c>
      <c r="B7" s="134" t="s">
        <v>384</v>
      </c>
      <c r="C7" s="135" t="s">
        <v>385</v>
      </c>
      <c r="D7" s="135" t="s">
        <v>386</v>
      </c>
      <c r="E7" s="135" t="s">
        <v>387</v>
      </c>
    </row>
    <row r="8" spans="1:6" ht="42.75">
      <c r="A8" s="641"/>
      <c r="B8" s="118">
        <v>45687</v>
      </c>
      <c r="C8" s="201" t="s">
        <v>388</v>
      </c>
      <c r="D8" s="120" t="s">
        <v>389</v>
      </c>
      <c r="E8" s="120" t="s">
        <v>390</v>
      </c>
    </row>
    <row r="9" spans="1:6" ht="161.44999999999999" customHeight="1">
      <c r="A9" s="641"/>
      <c r="B9" s="118">
        <v>45777</v>
      </c>
      <c r="C9" s="201" t="s">
        <v>391</v>
      </c>
      <c r="D9" s="120" t="s">
        <v>389</v>
      </c>
      <c r="E9" s="120" t="s">
        <v>390</v>
      </c>
    </row>
    <row r="10" spans="1:6">
      <c r="A10" s="641"/>
      <c r="B10" s="118"/>
      <c r="C10" s="119"/>
      <c r="D10" s="120"/>
      <c r="E10" s="120"/>
    </row>
    <row r="11" spans="1:6">
      <c r="A11" s="641"/>
      <c r="B11" s="118"/>
      <c r="C11" s="119"/>
      <c r="D11" s="120"/>
      <c r="E11" s="120"/>
    </row>
    <row r="12" spans="1:6">
      <c r="A12" s="641"/>
      <c r="B12" s="118"/>
      <c r="C12" s="119"/>
      <c r="D12" s="120"/>
      <c r="E12" s="120"/>
    </row>
    <row r="13" spans="1:6">
      <c r="A13" s="136"/>
      <c r="B13" s="118"/>
      <c r="C13" s="119"/>
      <c r="D13" s="120"/>
      <c r="E13" s="120"/>
    </row>
    <row r="14" spans="1:6">
      <c r="A14" s="136"/>
      <c r="B14" s="118"/>
      <c r="C14" s="119"/>
      <c r="D14" s="120"/>
      <c r="E14" s="120"/>
    </row>
    <row r="15" spans="1:6">
      <c r="A15" s="136"/>
      <c r="B15" s="118"/>
      <c r="C15" s="119"/>
      <c r="D15" s="120"/>
      <c r="E15" s="120"/>
    </row>
    <row r="16" spans="1:6">
      <c r="A16" s="136"/>
      <c r="B16" s="118"/>
      <c r="C16" s="119"/>
      <c r="D16" s="120"/>
      <c r="E16" s="120"/>
    </row>
    <row r="17" spans="1:5">
      <c r="A17" s="136"/>
      <c r="B17" s="118"/>
      <c r="C17" s="119"/>
      <c r="D17" s="120"/>
      <c r="E17" s="120"/>
    </row>
    <row r="18" spans="1:5">
      <c r="A18" s="136"/>
      <c r="B18" s="118"/>
      <c r="C18" s="119"/>
      <c r="D18" s="120"/>
      <c r="E18" s="120"/>
    </row>
    <row r="19" spans="1:5">
      <c r="B19" s="118"/>
      <c r="C19" s="121"/>
      <c r="D19" s="120"/>
      <c r="E19" s="120"/>
    </row>
    <row r="20" spans="1:5">
      <c r="B20" s="118"/>
      <c r="C20" s="119"/>
      <c r="D20" s="120"/>
      <c r="E20" s="120"/>
    </row>
    <row r="25" spans="1:5">
      <c r="C25" s="122"/>
    </row>
  </sheetData>
  <mergeCells count="3">
    <mergeCell ref="B2:B5"/>
    <mergeCell ref="C2:D5"/>
    <mergeCell ref="A7:A12"/>
  </mergeCells>
  <pageMargins left="0.7" right="0.7" top="0.75" bottom="0.75" header="0.3" footer="0.3"/>
  <pageSetup scale="68"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defaultColWidth="11.42578125" defaultRowHeight="1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A8" zoomScale="80" zoomScaleNormal="80" workbookViewId="0">
      <selection activeCell="H20" sqref="H20"/>
    </sheetView>
  </sheetViews>
  <sheetFormatPr defaultColWidth="11.42578125" defaultRowHeight="15"/>
  <cols>
    <col min="1" max="1" width="2.7109375" style="68" customWidth="1"/>
    <col min="2" max="3" width="24.7109375" style="68" customWidth="1"/>
    <col min="4" max="4" width="16" style="68" customWidth="1"/>
    <col min="5" max="5" width="24.7109375" style="68" customWidth="1"/>
    <col min="6" max="6" width="27.7109375" style="68" customWidth="1"/>
    <col min="7" max="8" width="24.7109375" style="68" customWidth="1"/>
    <col min="9" max="10" width="11.42578125" style="142"/>
    <col min="11" max="16384" width="11.42578125" style="68"/>
  </cols>
  <sheetData>
    <row r="1" spans="2:10" ht="15.75" thickBot="1"/>
    <row r="2" spans="2:10" ht="18" customHeight="1">
      <c r="B2" s="659" t="s">
        <v>392</v>
      </c>
      <c r="C2" s="660"/>
      <c r="D2" s="660"/>
      <c r="E2" s="660"/>
      <c r="F2" s="660"/>
      <c r="G2" s="660"/>
      <c r="H2" s="661"/>
      <c r="J2" s="143" t="s">
        <v>292</v>
      </c>
    </row>
    <row r="3" spans="2:10" ht="20.25">
      <c r="B3" s="69"/>
      <c r="C3" s="70"/>
      <c r="D3" s="70"/>
      <c r="E3" s="70"/>
      <c r="F3" s="70"/>
      <c r="G3" s="70"/>
      <c r="H3" s="71"/>
      <c r="J3" s="143"/>
    </row>
    <row r="4" spans="2:10" ht="63" customHeight="1">
      <c r="B4" s="662" t="s">
        <v>393</v>
      </c>
      <c r="C4" s="663"/>
      <c r="D4" s="663"/>
      <c r="E4" s="663"/>
      <c r="F4" s="663"/>
      <c r="G4" s="663"/>
      <c r="H4" s="664"/>
    </row>
    <row r="5" spans="2:10" ht="63" customHeight="1">
      <c r="B5" s="665"/>
      <c r="C5" s="666"/>
      <c r="D5" s="666"/>
      <c r="E5" s="666"/>
      <c r="F5" s="666"/>
      <c r="G5" s="666"/>
      <c r="H5" s="667"/>
    </row>
    <row r="6" spans="2:10" ht="16.5">
      <c r="B6" s="668" t="s">
        <v>394</v>
      </c>
      <c r="C6" s="669"/>
      <c r="D6" s="669"/>
      <c r="E6" s="669"/>
      <c r="F6" s="669"/>
      <c r="G6" s="669"/>
      <c r="H6" s="670"/>
    </row>
    <row r="7" spans="2:10" ht="95.25" customHeight="1">
      <c r="B7" s="678" t="s">
        <v>395</v>
      </c>
      <c r="C7" s="679"/>
      <c r="D7" s="679"/>
      <c r="E7" s="679"/>
      <c r="F7" s="679"/>
      <c r="G7" s="679"/>
      <c r="H7" s="680"/>
    </row>
    <row r="8" spans="2:10" ht="16.5">
      <c r="B8" s="101"/>
      <c r="C8" s="102"/>
      <c r="D8" s="102"/>
      <c r="E8" s="102"/>
      <c r="F8" s="102"/>
      <c r="G8" s="102"/>
      <c r="H8" s="103"/>
    </row>
    <row r="9" spans="2:10" ht="16.5" customHeight="1">
      <c r="B9" s="671" t="s">
        <v>396</v>
      </c>
      <c r="C9" s="672"/>
      <c r="D9" s="672"/>
      <c r="E9" s="672"/>
      <c r="F9" s="672"/>
      <c r="G9" s="672"/>
      <c r="H9" s="673"/>
    </row>
    <row r="10" spans="2:10" ht="44.25" customHeight="1">
      <c r="B10" s="671"/>
      <c r="C10" s="672"/>
      <c r="D10" s="672"/>
      <c r="E10" s="672"/>
      <c r="F10" s="672"/>
      <c r="G10" s="672"/>
      <c r="H10" s="673"/>
    </row>
    <row r="11" spans="2:10" ht="15.75" thickBot="1">
      <c r="B11" s="90"/>
      <c r="C11" s="93"/>
      <c r="D11" s="98"/>
      <c r="E11" s="99"/>
      <c r="F11" s="99"/>
      <c r="G11" s="100"/>
      <c r="H11" s="94"/>
    </row>
    <row r="12" spans="2:10" ht="15.75" thickTop="1">
      <c r="B12" s="90"/>
      <c r="C12" s="674" t="s">
        <v>397</v>
      </c>
      <c r="D12" s="675"/>
      <c r="E12" s="676" t="s">
        <v>398</v>
      </c>
      <c r="F12" s="677"/>
      <c r="G12" s="93"/>
      <c r="H12" s="94"/>
    </row>
    <row r="13" spans="2:10" ht="35.25" customHeight="1">
      <c r="B13" s="90"/>
      <c r="C13" s="646" t="s">
        <v>399</v>
      </c>
      <c r="D13" s="647"/>
      <c r="E13" s="648" t="s">
        <v>400</v>
      </c>
      <c r="F13" s="649"/>
      <c r="G13" s="93"/>
      <c r="H13" s="94"/>
    </row>
    <row r="14" spans="2:10" ht="17.25" customHeight="1">
      <c r="B14" s="90"/>
      <c r="C14" s="646" t="s">
        <v>401</v>
      </c>
      <c r="D14" s="647"/>
      <c r="E14" s="648" t="s">
        <v>402</v>
      </c>
      <c r="F14" s="649"/>
      <c r="G14" s="93"/>
      <c r="H14" s="94"/>
    </row>
    <row r="15" spans="2:10" ht="19.5" customHeight="1">
      <c r="B15" s="90"/>
      <c r="C15" s="646" t="s">
        <v>403</v>
      </c>
      <c r="D15" s="647"/>
      <c r="E15" s="648" t="s">
        <v>404</v>
      </c>
      <c r="F15" s="649"/>
      <c r="G15" s="93"/>
      <c r="H15" s="94"/>
    </row>
    <row r="16" spans="2:10" ht="69.75" customHeight="1">
      <c r="B16" s="90"/>
      <c r="C16" s="646" t="s">
        <v>405</v>
      </c>
      <c r="D16" s="647"/>
      <c r="E16" s="648" t="s">
        <v>406</v>
      </c>
      <c r="F16" s="649"/>
      <c r="G16" s="93"/>
      <c r="H16" s="94"/>
    </row>
    <row r="17" spans="2:8" ht="34.5" customHeight="1">
      <c r="B17" s="90"/>
      <c r="C17" s="650" t="s">
        <v>28</v>
      </c>
      <c r="D17" s="651"/>
      <c r="E17" s="642" t="s">
        <v>407</v>
      </c>
      <c r="F17" s="643"/>
      <c r="G17" s="93"/>
      <c r="H17" s="94"/>
    </row>
    <row r="18" spans="2:8" ht="27.75" customHeight="1">
      <c r="B18" s="90"/>
      <c r="C18" s="650" t="s">
        <v>408</v>
      </c>
      <c r="D18" s="651"/>
      <c r="E18" s="642" t="s">
        <v>409</v>
      </c>
      <c r="F18" s="643"/>
      <c r="G18" s="93"/>
      <c r="H18" s="94"/>
    </row>
    <row r="19" spans="2:8" ht="28.5" customHeight="1">
      <c r="B19" s="90"/>
      <c r="C19" s="650" t="s">
        <v>410</v>
      </c>
      <c r="D19" s="651"/>
      <c r="E19" s="642" t="s">
        <v>411</v>
      </c>
      <c r="F19" s="643"/>
      <c r="G19" s="93"/>
      <c r="H19" s="94"/>
    </row>
    <row r="20" spans="2:8" ht="72.75" customHeight="1">
      <c r="B20" s="90"/>
      <c r="C20" s="650" t="s">
        <v>412</v>
      </c>
      <c r="D20" s="651"/>
      <c r="E20" s="642" t="s">
        <v>413</v>
      </c>
      <c r="F20" s="643"/>
      <c r="G20" s="93"/>
      <c r="H20" s="94"/>
    </row>
    <row r="21" spans="2:8" ht="64.5" customHeight="1">
      <c r="B21" s="90"/>
      <c r="C21" s="650" t="s">
        <v>34</v>
      </c>
      <c r="D21" s="651"/>
      <c r="E21" s="642" t="s">
        <v>414</v>
      </c>
      <c r="F21" s="643"/>
      <c r="G21" s="93"/>
      <c r="H21" s="94"/>
    </row>
    <row r="22" spans="2:8" ht="71.25" customHeight="1">
      <c r="B22" s="90"/>
      <c r="C22" s="650" t="s">
        <v>415</v>
      </c>
      <c r="D22" s="651"/>
      <c r="E22" s="642" t="s">
        <v>416</v>
      </c>
      <c r="F22" s="643"/>
      <c r="G22" s="93"/>
      <c r="H22" s="94"/>
    </row>
    <row r="23" spans="2:8" ht="55.5" customHeight="1">
      <c r="B23" s="90"/>
      <c r="C23" s="644" t="s">
        <v>417</v>
      </c>
      <c r="D23" s="645"/>
      <c r="E23" s="642" t="s">
        <v>418</v>
      </c>
      <c r="F23" s="643"/>
      <c r="G23" s="93"/>
      <c r="H23" s="94"/>
    </row>
    <row r="24" spans="2:8" ht="42" customHeight="1">
      <c r="B24" s="90"/>
      <c r="C24" s="644" t="s">
        <v>41</v>
      </c>
      <c r="D24" s="645"/>
      <c r="E24" s="642" t="s">
        <v>419</v>
      </c>
      <c r="F24" s="643"/>
      <c r="G24" s="93"/>
      <c r="H24" s="94"/>
    </row>
    <row r="25" spans="2:8" ht="59.25" customHeight="1">
      <c r="B25" s="90"/>
      <c r="C25" s="644" t="s">
        <v>420</v>
      </c>
      <c r="D25" s="645"/>
      <c r="E25" s="642" t="s">
        <v>421</v>
      </c>
      <c r="F25" s="643"/>
      <c r="G25" s="93"/>
      <c r="H25" s="94"/>
    </row>
    <row r="26" spans="2:8" ht="23.25" customHeight="1">
      <c r="B26" s="90"/>
      <c r="C26" s="644" t="s">
        <v>45</v>
      </c>
      <c r="D26" s="645"/>
      <c r="E26" s="642" t="s">
        <v>422</v>
      </c>
      <c r="F26" s="643"/>
      <c r="G26" s="93"/>
      <c r="H26" s="94"/>
    </row>
    <row r="27" spans="2:8" ht="30.75" customHeight="1">
      <c r="B27" s="90"/>
      <c r="C27" s="644" t="s">
        <v>423</v>
      </c>
      <c r="D27" s="645"/>
      <c r="E27" s="642" t="s">
        <v>424</v>
      </c>
      <c r="F27" s="643"/>
      <c r="G27" s="93"/>
      <c r="H27" s="94"/>
    </row>
    <row r="28" spans="2:8" ht="35.25" customHeight="1">
      <c r="B28" s="90"/>
      <c r="C28" s="644" t="s">
        <v>425</v>
      </c>
      <c r="D28" s="645"/>
      <c r="E28" s="642" t="s">
        <v>426</v>
      </c>
      <c r="F28" s="643"/>
      <c r="G28" s="93"/>
      <c r="H28" s="94"/>
    </row>
    <row r="29" spans="2:8" ht="33" customHeight="1">
      <c r="B29" s="90"/>
      <c r="C29" s="644" t="s">
        <v>425</v>
      </c>
      <c r="D29" s="645"/>
      <c r="E29" s="642" t="s">
        <v>426</v>
      </c>
      <c r="F29" s="643"/>
      <c r="G29" s="93"/>
      <c r="H29" s="94"/>
    </row>
    <row r="30" spans="2:8" ht="30" customHeight="1">
      <c r="B30" s="90"/>
      <c r="C30" s="644" t="s">
        <v>427</v>
      </c>
      <c r="D30" s="645"/>
      <c r="E30" s="642" t="s">
        <v>428</v>
      </c>
      <c r="F30" s="643"/>
      <c r="G30" s="93"/>
      <c r="H30" s="94"/>
    </row>
    <row r="31" spans="2:8" ht="35.25" customHeight="1">
      <c r="B31" s="90"/>
      <c r="C31" s="644" t="s">
        <v>429</v>
      </c>
      <c r="D31" s="645"/>
      <c r="E31" s="642" t="s">
        <v>430</v>
      </c>
      <c r="F31" s="643"/>
      <c r="G31" s="93"/>
      <c r="H31" s="94"/>
    </row>
    <row r="32" spans="2:8" ht="31.5" customHeight="1">
      <c r="B32" s="90"/>
      <c r="C32" s="644" t="s">
        <v>431</v>
      </c>
      <c r="D32" s="645"/>
      <c r="E32" s="642" t="s">
        <v>432</v>
      </c>
      <c r="F32" s="643"/>
      <c r="G32" s="93"/>
      <c r="H32" s="94"/>
    </row>
    <row r="33" spans="2:8" ht="35.25" customHeight="1">
      <c r="B33" s="90"/>
      <c r="C33" s="644" t="s">
        <v>433</v>
      </c>
      <c r="D33" s="645"/>
      <c r="E33" s="642" t="s">
        <v>434</v>
      </c>
      <c r="F33" s="643"/>
      <c r="G33" s="93"/>
      <c r="H33" s="94"/>
    </row>
    <row r="34" spans="2:8" ht="59.25" customHeight="1">
      <c r="B34" s="90"/>
      <c r="C34" s="644" t="s">
        <v>435</v>
      </c>
      <c r="D34" s="645"/>
      <c r="E34" s="642" t="s">
        <v>436</v>
      </c>
      <c r="F34" s="643"/>
      <c r="G34" s="93"/>
      <c r="H34" s="94"/>
    </row>
    <row r="35" spans="2:8" ht="29.25" customHeight="1">
      <c r="B35" s="90"/>
      <c r="C35" s="644" t="s">
        <v>51</v>
      </c>
      <c r="D35" s="645"/>
      <c r="E35" s="642" t="s">
        <v>437</v>
      </c>
      <c r="F35" s="643"/>
      <c r="G35" s="93"/>
      <c r="H35" s="94"/>
    </row>
    <row r="36" spans="2:8" ht="82.5" customHeight="1">
      <c r="B36" s="90"/>
      <c r="C36" s="644" t="s">
        <v>438</v>
      </c>
      <c r="D36" s="645"/>
      <c r="E36" s="642" t="s">
        <v>439</v>
      </c>
      <c r="F36" s="643"/>
      <c r="G36" s="93"/>
      <c r="H36" s="94"/>
    </row>
    <row r="37" spans="2:8" ht="46.5" customHeight="1">
      <c r="B37" s="90"/>
      <c r="C37" s="644" t="s">
        <v>440</v>
      </c>
      <c r="D37" s="645"/>
      <c r="E37" s="642" t="s">
        <v>441</v>
      </c>
      <c r="F37" s="643"/>
      <c r="G37" s="93"/>
      <c r="H37" s="94"/>
    </row>
    <row r="38" spans="2:8" ht="6.75" customHeight="1" thickBot="1">
      <c r="B38" s="90"/>
      <c r="C38" s="655"/>
      <c r="D38" s="656"/>
      <c r="E38" s="657"/>
      <c r="F38" s="658"/>
      <c r="G38" s="93"/>
      <c r="H38" s="94"/>
    </row>
    <row r="39" spans="2:8" ht="15.75" thickTop="1">
      <c r="B39" s="90"/>
      <c r="C39" s="91"/>
      <c r="D39" s="91"/>
      <c r="E39" s="92"/>
      <c r="F39" s="92"/>
      <c r="G39" s="93"/>
      <c r="H39" s="94"/>
    </row>
    <row r="40" spans="2:8" ht="21" customHeight="1">
      <c r="B40" s="652" t="s">
        <v>442</v>
      </c>
      <c r="C40" s="653"/>
      <c r="D40" s="653"/>
      <c r="E40" s="653"/>
      <c r="F40" s="653"/>
      <c r="G40" s="653"/>
      <c r="H40" s="654"/>
    </row>
    <row r="41" spans="2:8" ht="20.25" customHeight="1">
      <c r="B41" s="652" t="s">
        <v>443</v>
      </c>
      <c r="C41" s="653"/>
      <c r="D41" s="653"/>
      <c r="E41" s="653"/>
      <c r="F41" s="653"/>
      <c r="G41" s="653"/>
      <c r="H41" s="654"/>
    </row>
    <row r="42" spans="2:8" ht="20.25" customHeight="1">
      <c r="B42" s="652" t="s">
        <v>444</v>
      </c>
      <c r="C42" s="653"/>
      <c r="D42" s="653"/>
      <c r="E42" s="653"/>
      <c r="F42" s="653"/>
      <c r="G42" s="653"/>
      <c r="H42" s="654"/>
    </row>
    <row r="43" spans="2:8" ht="20.25" customHeight="1">
      <c r="B43" s="652" t="s">
        <v>445</v>
      </c>
      <c r="C43" s="653"/>
      <c r="D43" s="653"/>
      <c r="E43" s="653"/>
      <c r="F43" s="653"/>
      <c r="G43" s="653"/>
      <c r="H43" s="654"/>
    </row>
    <row r="44" spans="2:8" ht="15" customHeight="1">
      <c r="B44" s="652" t="s">
        <v>446</v>
      </c>
      <c r="C44" s="653"/>
      <c r="D44" s="653"/>
      <c r="E44" s="653"/>
      <c r="F44" s="653"/>
      <c r="G44" s="653"/>
      <c r="H44" s="654"/>
    </row>
    <row r="45" spans="2:8" ht="15.75" thickBot="1">
      <c r="B45" s="95"/>
      <c r="C45" s="96"/>
      <c r="D45" s="96"/>
      <c r="E45" s="96"/>
      <c r="F45" s="96"/>
      <c r="G45" s="96"/>
      <c r="H45" s="97"/>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defaultColWidth="11.42578125" defaultRowHeight="1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defaultColWidth="11.42578125" defaultRowHeight="15"/>
  <sheetData>
    <row r="1" spans="1:4">
      <c r="A1" t="s">
        <v>447</v>
      </c>
      <c r="B1" t="s">
        <v>30</v>
      </c>
      <c r="C1" t="s">
        <v>218</v>
      </c>
      <c r="D1" t="s">
        <v>219</v>
      </c>
    </row>
    <row r="2" spans="1:4">
      <c r="A2" t="s">
        <v>448</v>
      </c>
      <c r="B2" t="s">
        <v>224</v>
      </c>
      <c r="C2" t="s">
        <v>249</v>
      </c>
      <c r="D2" t="s">
        <v>227</v>
      </c>
    </row>
    <row r="3" spans="1:4">
      <c r="A3" t="s">
        <v>232</v>
      </c>
      <c r="B3" t="s">
        <v>235</v>
      </c>
      <c r="C3" t="s">
        <v>449</v>
      </c>
      <c r="D3" t="s">
        <v>132</v>
      </c>
    </row>
    <row r="4" spans="1:4">
      <c r="A4" t="s">
        <v>450</v>
      </c>
      <c r="B4" t="s">
        <v>247</v>
      </c>
      <c r="C4" t="s">
        <v>255</v>
      </c>
      <c r="D4" t="s">
        <v>100</v>
      </c>
    </row>
    <row r="5" spans="1:4">
      <c r="A5" t="s">
        <v>235</v>
      </c>
      <c r="B5" t="s">
        <v>94</v>
      </c>
      <c r="C5" t="s">
        <v>99</v>
      </c>
      <c r="D5" t="s">
        <v>451</v>
      </c>
    </row>
    <row r="6" spans="1:4">
      <c r="A6" t="s">
        <v>92</v>
      </c>
      <c r="B6" t="s">
        <v>151</v>
      </c>
      <c r="C6" t="s">
        <v>451</v>
      </c>
    </row>
    <row r="7" spans="1:4">
      <c r="A7" t="s">
        <v>452</v>
      </c>
      <c r="B7" t="s">
        <v>261</v>
      </c>
    </row>
    <row r="8" spans="1:4">
      <c r="A8" t="s">
        <v>453</v>
      </c>
    </row>
    <row r="9" spans="1:4">
      <c r="A9" t="s">
        <v>454</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39"/>
  <sheetViews>
    <sheetView topLeftCell="B1" zoomScale="83" zoomScaleNormal="83" workbookViewId="0">
      <selection activeCell="K23" sqref="K23:K24"/>
    </sheetView>
  </sheetViews>
  <sheetFormatPr defaultColWidth="11.42578125" defaultRowHeight="14.25"/>
  <cols>
    <col min="1" max="1" width="0" style="169" hidden="1" customWidth="1"/>
    <col min="2" max="2" width="4.42578125" style="169" customWidth="1"/>
    <col min="3" max="3" width="6.28515625" style="169" customWidth="1"/>
    <col min="4" max="4" width="4.7109375" style="170" customWidth="1"/>
    <col min="5" max="5" width="21" style="170" customWidth="1"/>
    <col min="6" max="7" width="20.7109375" style="170" customWidth="1"/>
    <col min="8" max="8" width="18.28515625" style="170" customWidth="1"/>
    <col min="9" max="9" width="31" style="170" customWidth="1"/>
    <col min="10" max="10" width="53.7109375" style="170" customWidth="1"/>
    <col min="11" max="11" width="58.28515625" style="169" customWidth="1"/>
    <col min="12" max="12" width="25.42578125" style="171" customWidth="1"/>
    <col min="13" max="13" width="31.85546875" style="171" customWidth="1"/>
    <col min="14" max="14" width="23.85546875" style="171" customWidth="1"/>
    <col min="15" max="15" width="19.5703125" style="169" customWidth="1"/>
    <col min="16" max="16" width="16.42578125" style="169" customWidth="1"/>
    <col min="17" max="17" width="8.85546875" style="169" customWidth="1"/>
    <col min="18" max="18" width="57.28515625" style="169" customWidth="1"/>
    <col min="19" max="19" width="17.42578125" style="169" customWidth="1"/>
    <col min="20" max="20" width="10.42578125" style="169" customWidth="1"/>
    <col min="21" max="21" width="16" style="169" customWidth="1"/>
    <col min="22" max="22" width="5.7109375" style="169" customWidth="1"/>
    <col min="23" max="23" width="63.42578125" style="169" customWidth="1"/>
    <col min="24" max="24" width="57.28515625" style="169" customWidth="1"/>
    <col min="25" max="25" width="15.28515625" style="169" customWidth="1"/>
    <col min="26" max="26" width="6.7109375" style="169" customWidth="1"/>
    <col min="27" max="27" width="5" style="169" customWidth="1"/>
    <col min="28" max="28" width="5.42578125" style="169" customWidth="1"/>
    <col min="29" max="29" width="7.28515625" style="169" customWidth="1"/>
    <col min="30" max="30" width="6.7109375" style="169" customWidth="1"/>
    <col min="31" max="31" width="8.28515625" style="169" customWidth="1"/>
    <col min="32" max="32" width="27" style="169" customWidth="1"/>
    <col min="33" max="33" width="13.7109375" style="169" customWidth="1"/>
    <col min="34" max="38" width="16.140625" style="169" customWidth="1"/>
    <col min="39" max="40" width="7.28515625" style="169" customWidth="1"/>
    <col min="41" max="41" width="46.42578125" style="169" customWidth="1"/>
    <col min="42" max="42" width="24.28515625" style="169" customWidth="1"/>
    <col min="43" max="43" width="23.140625" style="169" customWidth="1"/>
    <col min="44" max="46" width="19.7109375" style="169" customWidth="1"/>
    <col min="47" max="47" width="35.42578125" style="169" customWidth="1"/>
    <col min="48" max="50" width="34.7109375" style="169" customWidth="1"/>
    <col min="51" max="51" width="29" style="169" customWidth="1"/>
    <col min="52" max="52" width="23.28515625" style="169" customWidth="1"/>
    <col min="53" max="53" width="68.42578125" style="169" customWidth="1"/>
    <col min="54" max="54" width="31.42578125" style="169" customWidth="1"/>
    <col min="55" max="55" width="30.42578125" style="169" customWidth="1"/>
    <col min="56" max="56" width="53" style="169" customWidth="1"/>
    <col min="57" max="59" width="0" style="169" hidden="1" customWidth="1"/>
    <col min="60" max="61" width="11.42578125" style="169" hidden="1" customWidth="1"/>
    <col min="62" max="63" width="0" style="169" hidden="1" customWidth="1"/>
    <col min="64" max="16384" width="11.42578125" style="169"/>
  </cols>
  <sheetData>
    <row r="1" spans="1:82" ht="15" thickBot="1"/>
    <row r="2" spans="1:82" ht="27.75" customHeight="1">
      <c r="D2" s="281" t="s">
        <v>7</v>
      </c>
      <c r="E2" s="282"/>
      <c r="F2" s="282"/>
      <c r="G2" s="282"/>
      <c r="H2" s="283"/>
      <c r="I2" s="290" t="s">
        <v>8</v>
      </c>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13" t="s">
        <v>9</v>
      </c>
    </row>
    <row r="3" spans="1:82" ht="27.75" customHeight="1">
      <c r="D3" s="284"/>
      <c r="E3" s="285"/>
      <c r="F3" s="285"/>
      <c r="G3" s="285"/>
      <c r="H3" s="286"/>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20" t="s">
        <v>10</v>
      </c>
    </row>
    <row r="4" spans="1:82" ht="27.75" customHeight="1">
      <c r="D4" s="284"/>
      <c r="E4" s="285"/>
      <c r="F4" s="285"/>
      <c r="G4" s="285"/>
      <c r="H4" s="286"/>
      <c r="I4" s="290"/>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14" t="s">
        <v>4</v>
      </c>
    </row>
    <row r="5" spans="1:82" ht="27.75" customHeight="1" thickBot="1">
      <c r="D5" s="287"/>
      <c r="E5" s="288"/>
      <c r="F5" s="288"/>
      <c r="G5" s="288"/>
      <c r="H5" s="289"/>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14" t="s">
        <v>11</v>
      </c>
    </row>
    <row r="6" spans="1:82" ht="14.1" customHeight="1">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15"/>
    </row>
    <row r="7" spans="1:82" ht="26.25" customHeight="1">
      <c r="D7" s="291" t="s">
        <v>12</v>
      </c>
      <c r="E7" s="292"/>
      <c r="F7" s="292"/>
      <c r="G7" s="293"/>
      <c r="H7" s="294"/>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30" customHeight="1">
      <c r="D8" s="291" t="s">
        <v>13</v>
      </c>
      <c r="E8" s="292"/>
      <c r="F8" s="292"/>
      <c r="G8" s="293"/>
      <c r="H8" s="294"/>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24" customHeight="1">
      <c r="D9" s="291" t="s">
        <v>14</v>
      </c>
      <c r="E9" s="292"/>
      <c r="F9" s="292"/>
      <c r="G9" s="293"/>
      <c r="H9" s="294"/>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295"/>
      <c r="AL9" s="295"/>
      <c r="AM9" s="295"/>
      <c r="AN9" s="295"/>
      <c r="AO9" s="295"/>
      <c r="AP9" s="295"/>
      <c r="AQ9" s="295"/>
      <c r="AR9" s="295"/>
      <c r="AS9" s="295"/>
      <c r="AT9" s="295"/>
      <c r="AU9" s="295"/>
      <c r="AV9" s="295"/>
      <c r="AW9" s="295"/>
      <c r="AX9" s="295"/>
      <c r="AY9" s="295"/>
      <c r="AZ9" s="295"/>
      <c r="BA9" s="295"/>
      <c r="BB9" s="295"/>
      <c r="BC9" s="295"/>
      <c r="BD9" s="295"/>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16"/>
      <c r="AT10" s="216"/>
      <c r="AU10" s="216"/>
      <c r="AV10" s="216"/>
      <c r="AW10" s="216"/>
      <c r="AX10" s="216"/>
      <c r="AY10" s="216"/>
      <c r="AZ10" s="179"/>
      <c r="BA10" s="179"/>
      <c r="BB10" s="179"/>
      <c r="BC10" s="179"/>
      <c r="BD10" s="179"/>
    </row>
    <row r="11" spans="1:82" s="174" customFormat="1" ht="25.5" customHeight="1">
      <c r="A11" s="269" t="s">
        <v>15</v>
      </c>
      <c r="B11" s="269"/>
      <c r="C11" s="270"/>
      <c r="D11" s="271" t="s">
        <v>16</v>
      </c>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435"/>
      <c r="AS11" s="436" t="s">
        <v>17</v>
      </c>
      <c r="AT11" s="436"/>
      <c r="AU11" s="436"/>
      <c r="AV11" s="436"/>
      <c r="AW11" s="436"/>
      <c r="AX11" s="436"/>
      <c r="AY11" s="436"/>
      <c r="AZ11" s="274" t="s">
        <v>18</v>
      </c>
      <c r="BA11" s="273"/>
      <c r="BB11" s="273"/>
      <c r="BC11" s="275" t="s">
        <v>19</v>
      </c>
      <c r="BD11" s="276"/>
    </row>
    <row r="12" spans="1:82" ht="27" customHeight="1">
      <c r="D12" s="279" t="s">
        <v>20</v>
      </c>
      <c r="E12" s="279"/>
      <c r="F12" s="279"/>
      <c r="G12" s="279"/>
      <c r="H12" s="279"/>
      <c r="I12" s="280"/>
      <c r="J12" s="280"/>
      <c r="K12" s="280"/>
      <c r="L12" s="280"/>
      <c r="M12" s="280"/>
      <c r="N12" s="280"/>
      <c r="O12" s="280"/>
      <c r="P12" s="280" t="s">
        <v>21</v>
      </c>
      <c r="Q12" s="280"/>
      <c r="R12" s="280"/>
      <c r="S12" s="280"/>
      <c r="T12" s="280"/>
      <c r="U12" s="280"/>
      <c r="V12" s="280" t="s">
        <v>22</v>
      </c>
      <c r="W12" s="280"/>
      <c r="X12" s="280"/>
      <c r="Y12" s="280"/>
      <c r="Z12" s="280"/>
      <c r="AA12" s="280"/>
      <c r="AB12" s="280"/>
      <c r="AC12" s="280"/>
      <c r="AD12" s="280"/>
      <c r="AE12" s="280"/>
      <c r="AF12" s="310" t="s">
        <v>23</v>
      </c>
      <c r="AG12" s="280" t="s">
        <v>24</v>
      </c>
      <c r="AH12" s="280"/>
      <c r="AI12" s="280"/>
      <c r="AJ12" s="280"/>
      <c r="AK12" s="280"/>
      <c r="AL12" s="280"/>
      <c r="AM12" s="280"/>
      <c r="AN12" s="218"/>
      <c r="AO12" s="271" t="s">
        <v>25</v>
      </c>
      <c r="AP12" s="272"/>
      <c r="AQ12" s="272"/>
      <c r="AR12" s="272"/>
      <c r="AS12" s="436"/>
      <c r="AT12" s="436"/>
      <c r="AU12" s="436"/>
      <c r="AV12" s="436"/>
      <c r="AW12" s="436"/>
      <c r="AX12" s="436"/>
      <c r="AY12" s="436"/>
      <c r="AZ12" s="274"/>
      <c r="BA12" s="273"/>
      <c r="BB12" s="273"/>
      <c r="BC12" s="277"/>
      <c r="BD12" s="278"/>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45.75" customHeight="1">
      <c r="D13" s="297" t="s">
        <v>26</v>
      </c>
      <c r="E13" s="298" t="s">
        <v>27</v>
      </c>
      <c r="F13" s="299" t="s">
        <v>28</v>
      </c>
      <c r="G13" s="300" t="s">
        <v>29</v>
      </c>
      <c r="H13" s="279" t="s">
        <v>30</v>
      </c>
      <c r="I13" s="298" t="s">
        <v>31</v>
      </c>
      <c r="J13" s="298" t="s">
        <v>32</v>
      </c>
      <c r="K13" s="298" t="s">
        <v>33</v>
      </c>
      <c r="L13" s="300" t="s">
        <v>34</v>
      </c>
      <c r="M13" s="304" t="s">
        <v>35</v>
      </c>
      <c r="N13" s="305"/>
      <c r="O13" s="298" t="s">
        <v>36</v>
      </c>
      <c r="P13" s="298" t="s">
        <v>37</v>
      </c>
      <c r="Q13" s="279" t="s">
        <v>38</v>
      </c>
      <c r="R13" s="298" t="s">
        <v>39</v>
      </c>
      <c r="S13" s="298" t="s">
        <v>40</v>
      </c>
      <c r="T13" s="279" t="s">
        <v>38</v>
      </c>
      <c r="U13" s="298" t="s">
        <v>41</v>
      </c>
      <c r="V13" s="303" t="s">
        <v>42</v>
      </c>
      <c r="W13" s="298" t="s">
        <v>43</v>
      </c>
      <c r="X13" s="298" t="s">
        <v>44</v>
      </c>
      <c r="Y13" s="298" t="s">
        <v>45</v>
      </c>
      <c r="Z13" s="298" t="s">
        <v>46</v>
      </c>
      <c r="AA13" s="298"/>
      <c r="AB13" s="298"/>
      <c r="AC13" s="298"/>
      <c r="AD13" s="298"/>
      <c r="AE13" s="298"/>
      <c r="AF13" s="311"/>
      <c r="AG13" s="303" t="s">
        <v>47</v>
      </c>
      <c r="AH13" s="303" t="s">
        <v>48</v>
      </c>
      <c r="AI13" s="303" t="s">
        <v>38</v>
      </c>
      <c r="AJ13" s="303" t="s">
        <v>49</v>
      </c>
      <c r="AK13" s="303" t="s">
        <v>38</v>
      </c>
      <c r="AL13" s="303" t="s">
        <v>50</v>
      </c>
      <c r="AM13" s="303" t="s">
        <v>51</v>
      </c>
      <c r="AN13" s="303" t="s">
        <v>52</v>
      </c>
      <c r="AO13" s="298" t="s">
        <v>53</v>
      </c>
      <c r="AP13" s="298" t="s">
        <v>54</v>
      </c>
      <c r="AQ13" s="298" t="s">
        <v>55</v>
      </c>
      <c r="AR13" s="300" t="s">
        <v>56</v>
      </c>
      <c r="AS13" s="319" t="s">
        <v>57</v>
      </c>
      <c r="AT13" s="319" t="s">
        <v>58</v>
      </c>
      <c r="AU13" s="319" t="s">
        <v>59</v>
      </c>
      <c r="AV13" s="319" t="s">
        <v>60</v>
      </c>
      <c r="AW13" s="319" t="s">
        <v>61</v>
      </c>
      <c r="AX13" s="319" t="s">
        <v>62</v>
      </c>
      <c r="AY13" s="319" t="s">
        <v>63</v>
      </c>
      <c r="AZ13" s="298" t="s">
        <v>64</v>
      </c>
      <c r="BA13" s="298" t="s">
        <v>65</v>
      </c>
      <c r="BB13" s="298" t="s">
        <v>66</v>
      </c>
      <c r="BC13" s="319" t="s">
        <v>64</v>
      </c>
      <c r="BD13" s="319" t="s">
        <v>67</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106.5" customHeight="1">
      <c r="A14" s="180"/>
      <c r="B14" s="180"/>
      <c r="C14" s="180"/>
      <c r="D14" s="297"/>
      <c r="E14" s="298"/>
      <c r="F14" s="280"/>
      <c r="G14" s="301"/>
      <c r="H14" s="279"/>
      <c r="I14" s="298"/>
      <c r="J14" s="298"/>
      <c r="K14" s="279"/>
      <c r="L14" s="301"/>
      <c r="M14" s="191" t="s">
        <v>68</v>
      </c>
      <c r="N14" s="191" t="s">
        <v>69</v>
      </c>
      <c r="O14" s="298"/>
      <c r="P14" s="298"/>
      <c r="Q14" s="279"/>
      <c r="R14" s="298"/>
      <c r="S14" s="279"/>
      <c r="T14" s="279"/>
      <c r="U14" s="298"/>
      <c r="V14" s="303"/>
      <c r="W14" s="298"/>
      <c r="X14" s="298"/>
      <c r="Y14" s="298"/>
      <c r="Z14" s="207" t="s">
        <v>70</v>
      </c>
      <c r="AA14" s="207" t="s">
        <v>71</v>
      </c>
      <c r="AB14" s="207" t="s">
        <v>72</v>
      </c>
      <c r="AC14" s="207" t="s">
        <v>23</v>
      </c>
      <c r="AD14" s="207" t="s">
        <v>73</v>
      </c>
      <c r="AE14" s="207" t="s">
        <v>74</v>
      </c>
      <c r="AF14" s="312"/>
      <c r="AG14" s="303"/>
      <c r="AH14" s="303"/>
      <c r="AI14" s="303"/>
      <c r="AJ14" s="303"/>
      <c r="AK14" s="303"/>
      <c r="AL14" s="303"/>
      <c r="AM14" s="303"/>
      <c r="AN14" s="303"/>
      <c r="AO14" s="298"/>
      <c r="AP14" s="298"/>
      <c r="AQ14" s="298"/>
      <c r="AR14" s="301"/>
      <c r="AS14" s="309"/>
      <c r="AT14" s="309"/>
      <c r="AU14" s="309"/>
      <c r="AV14" s="309"/>
      <c r="AW14" s="309"/>
      <c r="AX14" s="309"/>
      <c r="AY14" s="309"/>
      <c r="AZ14" s="300"/>
      <c r="BA14" s="300"/>
      <c r="BB14" s="300"/>
      <c r="BC14" s="309"/>
      <c r="BD14" s="309"/>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223" customFormat="1" ht="39.75" customHeight="1">
      <c r="D15" s="320">
        <v>1</v>
      </c>
      <c r="E15" s="322"/>
      <c r="F15" s="322"/>
      <c r="G15" s="324"/>
      <c r="H15" s="322"/>
      <c r="I15" s="326"/>
      <c r="J15" s="326"/>
      <c r="K15" s="326"/>
      <c r="L15" s="313"/>
      <c r="M15" s="315"/>
      <c r="N15" s="315"/>
      <c r="O15" s="313"/>
      <c r="P15" s="317" t="str">
        <f>IF(O15&lt;=0,"",IF(O15&lt;=2,"Muy Baja",IF(O15&lt;=24,"Baja",IF(O15&lt;=500,"Media",IF(O15&lt;=5000,"Alta","Muy Alta")))))</f>
        <v/>
      </c>
      <c r="Q15" s="338" t="str">
        <f>IF(P15="","",IF(P15="Muy Baja",0.2,IF(P15="Baja",0.4,IF(P15="Media",0.6,IF(P15="Alta",0.8,IF(P15="Muy Alta",1,))))))</f>
        <v/>
      </c>
      <c r="R15" s="340"/>
      <c r="S15" s="317" t="str">
        <f>IFERROR(VLOOKUP(R15,Criterios[],2,FALSE),"")</f>
        <v/>
      </c>
      <c r="T15" s="338" t="str">
        <f>IF(S15="","",IF(S15="Leve",0.2,IF(S15="Menor",0.4,IF(S15="Moderado",0.6,IF(S15="Mayor",0.8,IF(S15="Catastrófico",1,))))))</f>
        <v/>
      </c>
      <c r="U15" s="317"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
      </c>
      <c r="V15" s="224">
        <v>1</v>
      </c>
      <c r="W15" s="225"/>
      <c r="X15" s="226"/>
      <c r="Y15" s="227"/>
      <c r="Z15" s="228"/>
      <c r="AA15" s="228"/>
      <c r="AB15" s="229" t="str">
        <f t="shared" ref="AB15:AB32" si="0">IF(AND(Z15="Preventivo",AA15="Automático"),"50%",IF(AND(Z15="Preventivo",AA15="Manual"),"40%",IF(AND(Z15="Detectivo",AA15="Automático"),"40%",IF(AND(Z15="Detectivo",AA15="Manual"),"30%",IF(AND(Z15="Correctivo",AA15="Automático"),"35%",IF(AND(Z15="Correctivo",AA15="Manual"),"25%",""))))))</f>
        <v/>
      </c>
      <c r="AC15" s="228"/>
      <c r="AD15" s="228"/>
      <c r="AE15" s="228"/>
      <c r="AF15" s="230"/>
      <c r="AG15" s="231" t="str">
        <f>IFERROR(IF(Y15="Probabilidad",(Q15-(+ Q15*AB15)),IF(Y15="Impacto",Q15,"")),"")</f>
        <v/>
      </c>
      <c r="AH15" s="232" t="str">
        <f>IFERROR(IF(AG15="","",IF(AG15&lt;=0.2,"Muy Baja",IF(AG15&lt;=0.4,"Baja",IF(AG15&lt;=0.6,"Media",IF(AG15&lt;=0.8,"Alta","Muy Alta"))))),"")</f>
        <v/>
      </c>
      <c r="AI15" s="229" t="str">
        <f>+AG15</f>
        <v/>
      </c>
      <c r="AJ15" s="232" t="str">
        <f>IFERROR(IF(AK15="","",IF(AK15&lt;=0.2,"Leve",IF(AK15&lt;=0.4,"Menor",IF(AK15&lt;=0.6,"Moderado",IF(AK15&lt;=0.8,"Mayor","Catastrófico"))))),"")</f>
        <v/>
      </c>
      <c r="AK15" s="229" t="str">
        <f>IFERROR(IF(Y15="Impacto",(T15-(+T15*AB15)),IF(Y15="Probabilidad",T15,"")),"")</f>
        <v/>
      </c>
      <c r="AL15" s="232"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
      </c>
      <c r="AM15" s="342" t="s">
        <v>75</v>
      </c>
      <c r="AN15" s="224">
        <v>1</v>
      </c>
      <c r="AO15" s="326"/>
      <c r="AP15" s="331"/>
      <c r="AQ15" s="333"/>
      <c r="AR15" s="333"/>
      <c r="AS15" s="409"/>
      <c r="AT15" s="233"/>
      <c r="AU15" s="233"/>
      <c r="AV15" s="233"/>
      <c r="AW15" s="233"/>
      <c r="AX15" s="233"/>
      <c r="AY15" s="233"/>
      <c r="AZ15" s="335"/>
      <c r="BA15" s="234"/>
      <c r="BB15" s="235"/>
      <c r="BC15" s="328"/>
      <c r="BD15" s="236"/>
      <c r="BE15" s="237"/>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row>
    <row r="16" spans="1:82" s="223" customFormat="1" ht="64.5" customHeight="1">
      <c r="D16" s="321"/>
      <c r="E16" s="323"/>
      <c r="F16" s="323"/>
      <c r="G16" s="325"/>
      <c r="H16" s="323"/>
      <c r="I16" s="327"/>
      <c r="J16" s="327"/>
      <c r="K16" s="434"/>
      <c r="L16" s="314"/>
      <c r="M16" s="316"/>
      <c r="N16" s="316"/>
      <c r="O16" s="314"/>
      <c r="P16" s="318"/>
      <c r="Q16" s="339"/>
      <c r="R16" s="341"/>
      <c r="S16" s="318"/>
      <c r="T16" s="339"/>
      <c r="U16" s="318"/>
      <c r="V16" s="239">
        <v>2</v>
      </c>
      <c r="W16" s="225"/>
      <c r="X16" s="226"/>
      <c r="Y16" s="227"/>
      <c r="Z16" s="228"/>
      <c r="AA16" s="228"/>
      <c r="AB16" s="229" t="str">
        <f t="shared" si="0"/>
        <v/>
      </c>
      <c r="AC16" s="228"/>
      <c r="AD16" s="228"/>
      <c r="AE16" s="228"/>
      <c r="AF16" s="230"/>
      <c r="AG16" s="231" t="str">
        <f>IFERROR(IF(Y16="Probabilidad",(Q15-(+ Q16*AB16)),IF(Y16="Impacto",Q16,"")),"")</f>
        <v/>
      </c>
      <c r="AH16" s="232" t="str">
        <f t="shared" ref="AH16:AH32" si="1">IFERROR(IF(AG16="","",IF(AG16&lt;=0.2,"Muy Baja",IF(AG16&lt;=0.4,"Baja",IF(AG16&lt;=0.6,"Media",IF(AG16&lt;=0.8,"Alta","Muy Alta"))))),"")</f>
        <v/>
      </c>
      <c r="AI16" s="229" t="str">
        <f t="shared" ref="AI16:AI32" si="2">+AG16</f>
        <v/>
      </c>
      <c r="AJ16" s="232" t="str">
        <f t="shared" ref="AJ16:AJ32" si="3">IFERROR(IF(AK16="","",IF(AK16&lt;=0.2,"Leve",IF(AK16&lt;=0.4,"Menor",IF(AK16&lt;=0.6,"Moderado",IF(AK16&lt;=0.8,"Mayor","Catastrófico"))))),"")</f>
        <v/>
      </c>
      <c r="AK16" s="229" t="str">
        <f>IFERROR(IF(Y16="Impacto",(T16-(+T16*AB16)),IF(Y16="Probabilidad",T15,"")),"")</f>
        <v/>
      </c>
      <c r="AL16" s="232" t="str">
        <f t="shared" ref="AL16:AL32" si="4">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
      </c>
      <c r="AM16" s="343"/>
      <c r="AN16" s="239">
        <v>2</v>
      </c>
      <c r="AO16" s="327"/>
      <c r="AP16" s="332"/>
      <c r="AQ16" s="334"/>
      <c r="AR16" s="334"/>
      <c r="AS16" s="410"/>
      <c r="AT16" s="233"/>
      <c r="AU16" s="233"/>
      <c r="AV16" s="233"/>
      <c r="AW16" s="233"/>
      <c r="AX16" s="233"/>
      <c r="AY16" s="233"/>
      <c r="AZ16" s="336"/>
      <c r="BA16" s="234"/>
      <c r="BB16" s="240"/>
      <c r="BC16" s="329"/>
      <c r="BD16" s="236"/>
      <c r="BE16" s="241"/>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row>
    <row r="17" spans="4:82" s="223" customFormat="1" ht="39.75" customHeight="1">
      <c r="D17" s="320">
        <v>2</v>
      </c>
      <c r="E17" s="322"/>
      <c r="F17" s="322"/>
      <c r="G17" s="324"/>
      <c r="H17" s="322"/>
      <c r="I17" s="326"/>
      <c r="J17" s="326"/>
      <c r="K17" s="326"/>
      <c r="L17" s="313"/>
      <c r="M17" s="315"/>
      <c r="N17" s="315"/>
      <c r="O17" s="313"/>
      <c r="P17" s="317" t="str">
        <f>IF(O17&lt;=0,"",IF(O17&lt;=2,"Muy Baja",IF(O17&lt;=24,"Baja",IF(O17&lt;=500,"Media",IF(O17&lt;=5000,"Alta","Muy Alta")))))</f>
        <v/>
      </c>
      <c r="Q17" s="338" t="str">
        <f t="shared" ref="Q17" si="5">IF(P17="","",IF(P17="Muy Baja",0.2,IF(P17="Baja",0.4,IF(P17="Media",0.6,IF(P17="Alta",0.8,IF(P17="Muy Alta",1,))))))</f>
        <v/>
      </c>
      <c r="R17" s="340"/>
      <c r="S17" s="317" t="str">
        <f>IFERROR(VLOOKUP(R17,Criterios[],2,FALSE),"")</f>
        <v/>
      </c>
      <c r="T17" s="338" t="str">
        <f t="shared" ref="T17" si="6">IF(S17="","",IF(S17="Leve",0.2,IF(S17="Menor",0.4,IF(S17="Moderado",0.6,IF(S17="Mayor",0.8,IF(S17="Catastrófico",1,))))))</f>
        <v/>
      </c>
      <c r="U17" s="317" t="str">
        <f>IF(OR(AND(P17="Muy Baja",S17="Leve"),AND(P17="Muy Baja",S17="Menor"),AND(P17="Baja",S17="Leve")),"Bajo",IF(OR(AND(P17="Muy baja",S17="Moderado"),AND(P17="Baja",S17="Menor"),AND(P17="Baja",S17="Moderado"),AND(P17="Media",S17="Leve"),AND(P17="Media",S17="Menor"),AND(P17="Media",S17="Moderado"),AND(P17="Alta",S17="Leve"),AND(P17="Alta",S17="Menor")),"Moderado",IF(OR(AND(P17="Muy Baja",S17="Mayor"),AND(P17="Baja",S17="Mayor"),AND(P17="Media",S17="Mayor"),AND(P17="Alta",S17="Moderado"),AND(P17="Alta",S17="Mayor"),AND(P17="Muy Alta",S17="Leve"),AND(P17="Muy Alta",S17="Menor"),AND(P17="Muy Alta",S17="Moderado"),AND(P17="Muy Alta",S17="Mayor")),"Alto",IF(OR(AND(P17="Muy Baja",S17="Catastrófico"),AND(P17="Baja",S17="Catastrófico"),AND(P17="Media",S17="Catastrófico"),AND(P17="Alta",S17="Catastrófico"),AND(P17="Muy Alta",S17="Catastrófico")),"Extremo",""))))</f>
        <v/>
      </c>
      <c r="V17" s="224">
        <v>1</v>
      </c>
      <c r="W17" s="225"/>
      <c r="X17" s="226"/>
      <c r="Y17" s="227" t="str">
        <f t="shared" ref="Y17:Y32" si="7">IF(OR(Z17="Preventivo",Z17="Detectivo"),"Probabilidad",IF(Z17="Correctivo","Impacto",""))</f>
        <v/>
      </c>
      <c r="Z17" s="228"/>
      <c r="AA17" s="228"/>
      <c r="AB17" s="229" t="str">
        <f t="shared" si="0"/>
        <v/>
      </c>
      <c r="AC17" s="228"/>
      <c r="AD17" s="228"/>
      <c r="AE17" s="228"/>
      <c r="AF17" s="230"/>
      <c r="AG17" s="231" t="str">
        <f>IFERROR(IF(Y17="Probabilidad",(Q17-(+ Q17*AB17)),IF(Y17="Impacto",Q17,"")),"")</f>
        <v/>
      </c>
      <c r="AH17" s="232" t="str">
        <f t="shared" si="1"/>
        <v/>
      </c>
      <c r="AI17" s="229" t="str">
        <f t="shared" si="2"/>
        <v/>
      </c>
      <c r="AJ17" s="232" t="str">
        <f t="shared" si="3"/>
        <v/>
      </c>
      <c r="AK17" s="229" t="str">
        <f>IFERROR(IF(Y17="Impacto",(T117-(+T17*AB17)),IF(Y17="Probabilidad",T17,"")),"")</f>
        <v/>
      </c>
      <c r="AL17" s="232" t="str">
        <f t="shared" si="4"/>
        <v/>
      </c>
      <c r="AM17" s="342" t="s">
        <v>75</v>
      </c>
      <c r="AN17" s="224">
        <v>1</v>
      </c>
      <c r="AO17" s="326"/>
      <c r="AP17" s="331"/>
      <c r="AQ17" s="333"/>
      <c r="AR17" s="333"/>
      <c r="AS17" s="410"/>
      <c r="AT17" s="233"/>
      <c r="AU17" s="233"/>
      <c r="AV17" s="233"/>
      <c r="AW17" s="233"/>
      <c r="AX17" s="233"/>
      <c r="AY17" s="233"/>
      <c r="AZ17" s="336"/>
      <c r="BA17" s="234"/>
      <c r="BB17" s="240"/>
      <c r="BC17" s="329"/>
      <c r="BD17" s="236"/>
      <c r="BE17" s="238"/>
      <c r="BF17" s="241"/>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row>
    <row r="18" spans="4:82" s="223" customFormat="1" ht="39.75" customHeight="1">
      <c r="D18" s="321"/>
      <c r="E18" s="323"/>
      <c r="F18" s="323"/>
      <c r="G18" s="325"/>
      <c r="H18" s="323"/>
      <c r="I18" s="327"/>
      <c r="J18" s="327"/>
      <c r="K18" s="434"/>
      <c r="L18" s="314"/>
      <c r="M18" s="316"/>
      <c r="N18" s="316"/>
      <c r="O18" s="314"/>
      <c r="P18" s="318"/>
      <c r="Q18" s="339"/>
      <c r="R18" s="341"/>
      <c r="S18" s="318"/>
      <c r="T18" s="339"/>
      <c r="U18" s="318"/>
      <c r="V18" s="239">
        <v>2</v>
      </c>
      <c r="W18" s="225"/>
      <c r="X18" s="226"/>
      <c r="Y18" s="227"/>
      <c r="Z18" s="228"/>
      <c r="AA18" s="228"/>
      <c r="AB18" s="229"/>
      <c r="AC18" s="228"/>
      <c r="AD18" s="228"/>
      <c r="AE18" s="228"/>
      <c r="AF18" s="230"/>
      <c r="AG18" s="231"/>
      <c r="AH18" s="232"/>
      <c r="AI18" s="229"/>
      <c r="AJ18" s="232" t="str">
        <f t="shared" si="3"/>
        <v/>
      </c>
      <c r="AK18" s="229" t="str">
        <f>IFERROR(IF(Y18="Impacto",(T18-(+T18*AB18)),IF(Y18="Probabilidad",T17,"")),"")</f>
        <v/>
      </c>
      <c r="AL18" s="232" t="str">
        <f t="shared" si="4"/>
        <v/>
      </c>
      <c r="AM18" s="343"/>
      <c r="AN18" s="239">
        <v>2</v>
      </c>
      <c r="AO18" s="327"/>
      <c r="AP18" s="332"/>
      <c r="AQ18" s="334"/>
      <c r="AR18" s="334"/>
      <c r="AS18" s="410"/>
      <c r="AT18" s="233"/>
      <c r="AU18" s="233"/>
      <c r="AV18" s="233"/>
      <c r="AW18" s="233"/>
      <c r="AX18" s="233"/>
      <c r="AY18" s="233"/>
      <c r="AZ18" s="336"/>
      <c r="BA18" s="234"/>
      <c r="BB18" s="240"/>
      <c r="BC18" s="329"/>
      <c r="BD18" s="236"/>
      <c r="BE18" s="238"/>
      <c r="BF18" s="241"/>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row>
    <row r="19" spans="4:82" s="223" customFormat="1" ht="71.25" customHeight="1">
      <c r="D19" s="320">
        <v>3</v>
      </c>
      <c r="E19" s="322"/>
      <c r="F19" s="322"/>
      <c r="G19" s="324"/>
      <c r="H19" s="322"/>
      <c r="I19" s="326"/>
      <c r="J19" s="326"/>
      <c r="K19" s="326"/>
      <c r="L19" s="313"/>
      <c r="M19" s="315"/>
      <c r="N19" s="315"/>
      <c r="O19" s="313"/>
      <c r="P19" s="317" t="str">
        <f>IF(O19&lt;=0,"",IF(O19&lt;=2,"Muy Baja",IF(O19&lt;=24,"Baja",IF(O19&lt;=500,"Media",IF(O19&lt;=5000,"Alta","Muy Alta")))))</f>
        <v/>
      </c>
      <c r="Q19" s="338" t="str">
        <f t="shared" ref="Q19" si="8">IF(P19="","",IF(P19="Muy Baja",0.2,IF(P19="Baja",0.4,IF(P19="Media",0.6,IF(P19="Alta",0.8,IF(P19="Muy Alta",1,))))))</f>
        <v/>
      </c>
      <c r="R19" s="340"/>
      <c r="S19" s="317" t="str">
        <f>IFERROR(VLOOKUP(R19,Criterios[],2,FALSE),"")</f>
        <v/>
      </c>
      <c r="T19" s="338" t="str">
        <f t="shared" ref="T19" si="9">IF(S19="","",IF(S19="Leve",0.2,IF(S19="Menor",0.4,IF(S19="Moderado",0.6,IF(S19="Mayor",0.8,IF(S19="Catastrófico",1,))))))</f>
        <v/>
      </c>
      <c r="U19" s="317" t="str">
        <f>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
      </c>
      <c r="V19" s="224">
        <v>1</v>
      </c>
      <c r="W19" s="225"/>
      <c r="X19" s="226"/>
      <c r="Y19" s="227"/>
      <c r="Z19" s="228"/>
      <c r="AA19" s="228"/>
      <c r="AB19" s="229"/>
      <c r="AC19" s="228"/>
      <c r="AD19" s="228"/>
      <c r="AE19" s="228"/>
      <c r="AF19" s="230"/>
      <c r="AG19" s="231"/>
      <c r="AH19" s="232"/>
      <c r="AI19" s="229"/>
      <c r="AJ19" s="232"/>
      <c r="AK19" s="229"/>
      <c r="AL19" s="232"/>
      <c r="AM19" s="342"/>
      <c r="AN19" s="224"/>
      <c r="AO19" s="326"/>
      <c r="AP19" s="331"/>
      <c r="AQ19" s="333"/>
      <c r="AR19" s="333"/>
      <c r="AS19" s="410"/>
      <c r="AT19" s="233"/>
      <c r="AU19" s="233"/>
      <c r="AV19" s="233"/>
      <c r="AW19" s="233"/>
      <c r="AX19" s="233"/>
      <c r="AY19" s="233"/>
      <c r="AZ19" s="336"/>
      <c r="BA19" s="234"/>
      <c r="BB19" s="240"/>
      <c r="BC19" s="329"/>
      <c r="BD19" s="236"/>
      <c r="BE19" s="238"/>
      <c r="BF19" s="241"/>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row>
    <row r="20" spans="4:82" s="223" customFormat="1" ht="82.5" customHeight="1">
      <c r="D20" s="321"/>
      <c r="E20" s="323"/>
      <c r="F20" s="323"/>
      <c r="G20" s="325"/>
      <c r="H20" s="323"/>
      <c r="I20" s="327"/>
      <c r="J20" s="327"/>
      <c r="K20" s="434"/>
      <c r="L20" s="314"/>
      <c r="M20" s="316"/>
      <c r="N20" s="316"/>
      <c r="O20" s="314"/>
      <c r="P20" s="318"/>
      <c r="Q20" s="339"/>
      <c r="R20" s="341"/>
      <c r="S20" s="318"/>
      <c r="T20" s="339"/>
      <c r="U20" s="318"/>
      <c r="V20" s="239">
        <v>2</v>
      </c>
      <c r="W20" s="225"/>
      <c r="X20" s="226"/>
      <c r="Y20" s="227"/>
      <c r="Z20" s="228"/>
      <c r="AA20" s="228"/>
      <c r="AB20" s="229"/>
      <c r="AC20" s="228"/>
      <c r="AD20" s="228"/>
      <c r="AE20" s="228"/>
      <c r="AF20" s="230"/>
      <c r="AG20" s="231"/>
      <c r="AH20" s="232"/>
      <c r="AI20" s="229"/>
      <c r="AJ20" s="232"/>
      <c r="AK20" s="229"/>
      <c r="AL20" s="232"/>
      <c r="AM20" s="343"/>
      <c r="AN20" s="239"/>
      <c r="AO20" s="327"/>
      <c r="AP20" s="332"/>
      <c r="AQ20" s="334"/>
      <c r="AR20" s="334"/>
      <c r="AS20" s="410"/>
      <c r="AT20" s="233"/>
      <c r="AU20" s="233"/>
      <c r="AV20" s="233"/>
      <c r="AW20" s="233"/>
      <c r="AX20" s="233"/>
      <c r="AY20" s="233"/>
      <c r="AZ20" s="336"/>
      <c r="BA20" s="234"/>
      <c r="BB20" s="240"/>
      <c r="BC20" s="329"/>
      <c r="BD20" s="236"/>
      <c r="BE20" s="241"/>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row>
    <row r="21" spans="4:82" s="256" customFormat="1" ht="39.75" customHeight="1">
      <c r="D21" s="428">
        <v>4</v>
      </c>
      <c r="E21" s="424"/>
      <c r="F21" s="424"/>
      <c r="G21" s="426"/>
      <c r="H21" s="424"/>
      <c r="I21" s="416"/>
      <c r="J21" s="416"/>
      <c r="K21" s="416"/>
      <c r="L21" s="346"/>
      <c r="M21" s="430"/>
      <c r="N21" s="430"/>
      <c r="O21" s="346"/>
      <c r="P21" s="418" t="str">
        <f>IF(O21&lt;=0,"",IF(O21&lt;=2,"Muy Baja",IF(O21&lt;=24,"Baja",IF(O21&lt;=500,"Media",IF(O21&lt;=5000,"Alta","Muy Alta")))))</f>
        <v/>
      </c>
      <c r="Q21" s="422" t="str">
        <f t="shared" ref="Q21" si="10">IF(P21="","",IF(P21="Muy Baja",0.2,IF(P21="Baja",0.4,IF(P21="Media",0.6,IF(P21="Alta",0.8,IF(P21="Muy Alta",1,))))))</f>
        <v/>
      </c>
      <c r="R21" s="432"/>
      <c r="S21" s="418" t="str">
        <f>IFERROR(VLOOKUP(R21,Criterios[],2,FALSE),"")</f>
        <v/>
      </c>
      <c r="T21" s="422" t="str">
        <f t="shared" ref="T21" si="11">IF(S21="","",IF(S21="Leve",0.2,IF(S21="Menor",0.4,IF(S21="Moderado",0.6,IF(S21="Mayor",0.8,IF(S21="Catastrófico",1,))))))</f>
        <v/>
      </c>
      <c r="U21" s="418" t="str">
        <f>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
      </c>
      <c r="V21" s="243">
        <v>1</v>
      </c>
      <c r="W21" s="244"/>
      <c r="X21" s="245"/>
      <c r="Y21" s="246"/>
      <c r="Z21" s="247"/>
      <c r="AA21" s="247"/>
      <c r="AB21" s="248"/>
      <c r="AC21" s="247"/>
      <c r="AD21" s="247"/>
      <c r="AE21" s="247"/>
      <c r="AF21" s="249"/>
      <c r="AG21" s="250"/>
      <c r="AH21" s="251"/>
      <c r="AI21" s="248"/>
      <c r="AJ21" s="251"/>
      <c r="AK21" s="248"/>
      <c r="AL21" s="251"/>
      <c r="AM21" s="420"/>
      <c r="AN21" s="243"/>
      <c r="AO21" s="416"/>
      <c r="AP21" s="412"/>
      <c r="AQ21" s="414"/>
      <c r="AR21" s="414"/>
      <c r="AS21" s="410"/>
      <c r="AT21" s="252"/>
      <c r="AU21" s="252"/>
      <c r="AV21" s="252"/>
      <c r="AW21" s="252"/>
      <c r="AX21" s="252"/>
      <c r="AY21" s="252"/>
      <c r="AZ21" s="336"/>
      <c r="BA21" s="253"/>
      <c r="BB21" s="253"/>
      <c r="BC21" s="329"/>
      <c r="BD21" s="254"/>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c r="CC21" s="255"/>
      <c r="CD21" s="255"/>
    </row>
    <row r="22" spans="4:82" s="256" customFormat="1" ht="39.75" customHeight="1">
      <c r="D22" s="429"/>
      <c r="E22" s="425"/>
      <c r="F22" s="425"/>
      <c r="G22" s="427"/>
      <c r="H22" s="425"/>
      <c r="I22" s="417"/>
      <c r="J22" s="417"/>
      <c r="K22" s="417"/>
      <c r="L22" s="347"/>
      <c r="M22" s="431"/>
      <c r="N22" s="431"/>
      <c r="O22" s="347"/>
      <c r="P22" s="419"/>
      <c r="Q22" s="423"/>
      <c r="R22" s="433"/>
      <c r="S22" s="419"/>
      <c r="T22" s="423"/>
      <c r="U22" s="419"/>
      <c r="V22" s="257">
        <v>2</v>
      </c>
      <c r="W22" s="244"/>
      <c r="X22" s="245"/>
      <c r="Y22" s="246"/>
      <c r="Z22" s="247"/>
      <c r="AA22" s="247"/>
      <c r="AB22" s="248"/>
      <c r="AC22" s="247"/>
      <c r="AD22" s="247"/>
      <c r="AE22" s="247"/>
      <c r="AF22" s="249"/>
      <c r="AG22" s="250"/>
      <c r="AH22" s="251"/>
      <c r="AI22" s="248"/>
      <c r="AJ22" s="251"/>
      <c r="AK22" s="248"/>
      <c r="AL22" s="251"/>
      <c r="AM22" s="421"/>
      <c r="AN22" s="257"/>
      <c r="AO22" s="417"/>
      <c r="AP22" s="413"/>
      <c r="AQ22" s="415"/>
      <c r="AR22" s="415"/>
      <c r="AS22" s="410"/>
      <c r="AT22" s="252"/>
      <c r="AU22" s="252"/>
      <c r="AV22" s="252"/>
      <c r="AW22" s="252"/>
      <c r="AX22" s="252"/>
      <c r="AY22" s="252"/>
      <c r="AZ22" s="336"/>
      <c r="BA22" s="253"/>
      <c r="BB22" s="253"/>
      <c r="BC22" s="329"/>
      <c r="BD22" s="254"/>
      <c r="BE22" s="255"/>
      <c r="BF22" s="255"/>
      <c r="BG22" s="255"/>
      <c r="BH22" s="255"/>
      <c r="BI22" s="255"/>
      <c r="BJ22" s="255"/>
      <c r="BK22" s="255"/>
      <c r="BL22" s="255"/>
      <c r="BM22" s="255"/>
      <c r="BN22" s="255"/>
      <c r="BO22" s="255"/>
      <c r="BP22" s="255"/>
      <c r="BQ22" s="255"/>
      <c r="BR22" s="255"/>
      <c r="BS22" s="255"/>
      <c r="BT22" s="255"/>
      <c r="BU22" s="255"/>
      <c r="BV22" s="255"/>
      <c r="BW22" s="255"/>
      <c r="BX22" s="255"/>
      <c r="BY22" s="255"/>
      <c r="BZ22" s="255"/>
      <c r="CA22" s="255"/>
      <c r="CB22" s="255"/>
      <c r="CC22" s="255"/>
      <c r="CD22" s="255"/>
    </row>
    <row r="23" spans="4:82" s="183" customFormat="1" ht="58.5" customHeight="1">
      <c r="D23" s="368">
        <v>5</v>
      </c>
      <c r="E23" s="354"/>
      <c r="F23" s="354"/>
      <c r="G23" s="356"/>
      <c r="H23" s="354"/>
      <c r="I23" s="358"/>
      <c r="J23" s="358"/>
      <c r="K23" s="741"/>
      <c r="L23" s="348"/>
      <c r="M23" s="366"/>
      <c r="N23" s="366"/>
      <c r="O23" s="348"/>
      <c r="P23" s="350" t="str">
        <f t="shared" ref="P23:P31" si="12">IF(O23&lt;=0,"",IF(O23&lt;=2,"Muy Baja",IF(O23&lt;=24,"Baja",IF(O23&lt;=500,"Media",IF(O23&lt;=5000,"Alta","Muy Alta")))))</f>
        <v/>
      </c>
      <c r="Q23" s="352" t="str">
        <f t="shared" ref="Q23" si="13">IF(P23="","",IF(P23="Muy Baja",0.2,IF(P23="Baja",0.4,IF(P23="Media",0.6,IF(P23="Alta",0.8,IF(P23="Muy Alta",1,))))))</f>
        <v/>
      </c>
      <c r="R23" s="372"/>
      <c r="S23" s="350" t="str">
        <f>IFERROR(VLOOKUP(R23,Criterios[],2,FALSE),"")</f>
        <v/>
      </c>
      <c r="T23" s="352" t="str">
        <f t="shared" ref="T23" si="14">IF(S23="","",IF(S23="Leve",0.2,IF(S23="Menor",0.4,IF(S23="Moderado",0.6,IF(S23="Mayor",0.8,IF(S23="Catastrófico",1,))))))</f>
        <v/>
      </c>
      <c r="U23" s="350" t="str">
        <f>IF(OR(AND(P23="Muy Baja",S23="Leve"),AND(P23="Muy Baja",S23="Menor"),AND(P23="Baja",S23="Leve")),"Bajo",IF(OR(AND(P23="Muy baja",S23="Moderado"),AND(P23="Baja",S23="Menor"),AND(P23="Baja",S23="Moderado"),AND(P23="Media",S23="Leve"),AND(P23="Media",S23="Menor"),AND(P23="Media",S23="Moderado"),AND(P23="Alta",S23="Leve"),AND(P23="Alta",S23="Menor")),"Moderado",IF(OR(AND(P23="Muy Baja",S23="Mayor"),AND(P23="Baja",S23="Mayor"),AND(P23="Media",S23="Mayor"),AND(P23="Alta",S23="Moderado"),AND(P23="Alta",S23="Mayor"),AND(P23="Muy Alta",S23="Leve"),AND(P23="Muy Alta",S23="Menor"),AND(P23="Muy Alta",S23="Moderado"),AND(P23="Muy Alta",S23="Mayor")),"Alto",IF(OR(AND(P23="Muy Baja",S23="Catastrófico"),AND(P23="Baja",S23="Catastrófico"),AND(P23="Media",S23="Catastrófico"),AND(P23="Alta",S23="Catastrófico"),AND(P23="Muy Alta",S23="Catastrófico")),"Extremo",""))))</f>
        <v/>
      </c>
      <c r="V23" s="192">
        <v>1</v>
      </c>
      <c r="W23" s="193"/>
      <c r="X23" s="194"/>
      <c r="Y23" s="195"/>
      <c r="Z23" s="196"/>
      <c r="AA23" s="196"/>
      <c r="AB23" s="197"/>
      <c r="AC23" s="196"/>
      <c r="AD23" s="196"/>
      <c r="AE23" s="184"/>
      <c r="AF23" s="215"/>
      <c r="AG23" s="198"/>
      <c r="AH23" s="199"/>
      <c r="AI23" s="197"/>
      <c r="AJ23" s="199"/>
      <c r="AK23" s="197"/>
      <c r="AL23" s="199"/>
      <c r="AM23" s="360"/>
      <c r="AN23" s="192"/>
      <c r="AO23" s="358"/>
      <c r="AP23" s="362"/>
      <c r="AQ23" s="364"/>
      <c r="AR23" s="364"/>
      <c r="AS23" s="410"/>
      <c r="AT23" s="221"/>
      <c r="AU23" s="221"/>
      <c r="AV23" s="221"/>
      <c r="AW23" s="221"/>
      <c r="AX23" s="221"/>
      <c r="AY23" s="221"/>
      <c r="AZ23" s="336"/>
      <c r="BA23" s="219"/>
      <c r="BB23" s="219"/>
      <c r="BC23" s="329"/>
      <c r="BD23" s="222"/>
      <c r="BE23" s="185"/>
      <c r="BF23" s="185"/>
      <c r="BG23" s="185"/>
      <c r="BH23" s="185"/>
      <c r="BI23" s="185"/>
      <c r="BJ23" s="185"/>
      <c r="BK23" s="185"/>
      <c r="BL23" s="185"/>
      <c r="BM23" s="185"/>
      <c r="BN23" s="185"/>
      <c r="BO23" s="185"/>
      <c r="BP23" s="185"/>
      <c r="BQ23" s="185"/>
      <c r="BR23" s="185"/>
      <c r="BS23" s="185"/>
      <c r="BT23" s="185"/>
      <c r="BU23" s="185"/>
      <c r="BV23" s="185"/>
      <c r="BW23" s="185"/>
      <c r="BX23" s="185"/>
      <c r="BY23" s="185"/>
      <c r="BZ23" s="185"/>
      <c r="CA23" s="185"/>
      <c r="CB23" s="185"/>
      <c r="CC23" s="185"/>
      <c r="CD23" s="185"/>
    </row>
    <row r="24" spans="4:82" s="183" customFormat="1" ht="58.5" customHeight="1">
      <c r="D24" s="369"/>
      <c r="E24" s="355"/>
      <c r="F24" s="355"/>
      <c r="G24" s="357"/>
      <c r="H24" s="355"/>
      <c r="I24" s="359"/>
      <c r="J24" s="359"/>
      <c r="K24" s="742"/>
      <c r="L24" s="349"/>
      <c r="M24" s="367"/>
      <c r="N24" s="367"/>
      <c r="O24" s="349"/>
      <c r="P24" s="351"/>
      <c r="Q24" s="353"/>
      <c r="R24" s="373"/>
      <c r="S24" s="351"/>
      <c r="T24" s="353"/>
      <c r="U24" s="351"/>
      <c r="V24" s="200">
        <v>2</v>
      </c>
      <c r="W24" s="193"/>
      <c r="X24" s="194"/>
      <c r="Y24" s="195" t="str">
        <f t="shared" si="7"/>
        <v/>
      </c>
      <c r="Z24" s="196"/>
      <c r="AA24" s="196"/>
      <c r="AB24" s="197" t="str">
        <f t="shared" si="0"/>
        <v/>
      </c>
      <c r="AC24" s="196"/>
      <c r="AD24" s="196"/>
      <c r="AE24" s="184"/>
      <c r="AF24" s="215"/>
      <c r="AG24" s="198" t="str">
        <f>IFERROR(IF(Y24="Probabilidad",(Q23-(+ Q24*AB24)),IF(Y24="Impacto",Q24,"")),"")</f>
        <v/>
      </c>
      <c r="AH24" s="199" t="str">
        <f t="shared" si="1"/>
        <v/>
      </c>
      <c r="AI24" s="197"/>
      <c r="AJ24" s="199"/>
      <c r="AK24" s="197"/>
      <c r="AL24" s="199"/>
      <c r="AM24" s="361"/>
      <c r="AN24" s="200"/>
      <c r="AO24" s="359"/>
      <c r="AP24" s="363"/>
      <c r="AQ24" s="365"/>
      <c r="AR24" s="365"/>
      <c r="AS24" s="410"/>
      <c r="AT24" s="221"/>
      <c r="AU24" s="221"/>
      <c r="AV24" s="221"/>
      <c r="AW24" s="221"/>
      <c r="AX24" s="221"/>
      <c r="AY24" s="221"/>
      <c r="AZ24" s="336"/>
      <c r="BA24" s="219"/>
      <c r="BB24" s="219"/>
      <c r="BC24" s="329"/>
      <c r="BD24" s="222"/>
      <c r="BE24" s="185"/>
      <c r="BF24" s="185"/>
      <c r="BG24" s="185"/>
      <c r="BH24" s="185"/>
      <c r="BI24" s="185"/>
      <c r="BJ24" s="185"/>
      <c r="BK24" s="185"/>
      <c r="BL24" s="185"/>
      <c r="BM24" s="185"/>
      <c r="BN24" s="185"/>
      <c r="BO24" s="185"/>
      <c r="BP24" s="185"/>
      <c r="BQ24" s="185"/>
      <c r="BR24" s="185"/>
      <c r="BS24" s="185"/>
      <c r="BT24" s="185"/>
      <c r="BU24" s="185"/>
      <c r="BV24" s="185"/>
      <c r="BW24" s="185"/>
      <c r="BX24" s="185"/>
      <c r="BY24" s="185"/>
      <c r="BZ24" s="185"/>
      <c r="CA24" s="185"/>
      <c r="CB24" s="185"/>
      <c r="CC24" s="185"/>
      <c r="CD24" s="185"/>
    </row>
    <row r="25" spans="4:82" s="183" customFormat="1" ht="39.75" customHeight="1">
      <c r="D25" s="370">
        <v>6</v>
      </c>
      <c r="E25" s="354"/>
      <c r="F25" s="354"/>
      <c r="G25" s="356"/>
      <c r="H25" s="354"/>
      <c r="I25" s="358"/>
      <c r="J25" s="358"/>
      <c r="K25" s="358"/>
      <c r="L25" s="348"/>
      <c r="M25" s="366"/>
      <c r="N25" s="366"/>
      <c r="O25" s="348"/>
      <c r="P25" s="350" t="str">
        <f t="shared" si="12"/>
        <v/>
      </c>
      <c r="Q25" s="352" t="str">
        <f t="shared" ref="Q25" si="15">IF(P25="","",IF(P25="Muy Baja",0.2,IF(P25="Baja",0.4,IF(P25="Media",0.6,IF(P25="Alta",0.8,IF(P25="Muy Alta",1,))))))</f>
        <v/>
      </c>
      <c r="R25" s="372"/>
      <c r="S25" s="350" t="str">
        <f>IFERROR(VLOOKUP(R25,Criterios[],2,FALSE),"")</f>
        <v/>
      </c>
      <c r="T25" s="352" t="str">
        <f t="shared" ref="T25" si="16">IF(S25="","",IF(S25="Leve",0.2,IF(S25="Menor",0.4,IF(S25="Moderado",0.6,IF(S25="Mayor",0.8,IF(S25="Catastrófico",1,))))))</f>
        <v/>
      </c>
      <c r="U25" s="350" t="str">
        <f>IF(OR(AND(P25="Muy Baja",S25="Leve"),AND(P25="Muy Baja",S25="Menor"),AND(P25="Baja",S25="Leve")),"Bajo",IF(OR(AND(P25="Muy baja",S25="Moderado"),AND(P25="Baja",S25="Menor"),AND(P25="Baja",S25="Moderado"),AND(P25="Media",S25="Leve"),AND(P25="Media",S25="Menor"),AND(P25="Media",S25="Moderado"),AND(P25="Alta",S25="Leve"),AND(P25="Alta",S25="Menor")),"Moderado",IF(OR(AND(P25="Muy Baja",S25="Mayor"),AND(P25="Baja",S25="Mayor"),AND(P25="Media",S25="Mayor"),AND(P25="Alta",S25="Moderado"),AND(P25="Alta",S25="Mayor"),AND(P25="Muy Alta",S25="Leve"),AND(P25="Muy Alta",S25="Menor"),AND(P25="Muy Alta",S25="Moderado"),AND(P25="Muy Alta",S25="Mayor")),"Alto",IF(OR(AND(P25="Muy Baja",S25="Catastrófico"),AND(P25="Baja",S25="Catastrófico"),AND(P25="Media",S25="Catastrófico"),AND(P25="Alta",S25="Catastrófico"),AND(P25="Muy Alta",S25="Catastrófico")),"Extremo",""))))</f>
        <v/>
      </c>
      <c r="V25" s="192">
        <v>1</v>
      </c>
      <c r="W25" s="193"/>
      <c r="X25" s="194"/>
      <c r="Y25" s="195" t="str">
        <f t="shared" si="7"/>
        <v/>
      </c>
      <c r="Z25" s="196"/>
      <c r="AA25" s="196"/>
      <c r="AB25" s="197" t="str">
        <f t="shared" si="0"/>
        <v/>
      </c>
      <c r="AC25" s="196"/>
      <c r="AD25" s="196"/>
      <c r="AE25" s="184"/>
      <c r="AF25" s="215"/>
      <c r="AG25" s="198" t="str">
        <f>IFERROR(IF(Y25="Probabilidad",(Q25-(+Q25*AB25)),IF(Y25="Impacto",Q25,"")),"")</f>
        <v/>
      </c>
      <c r="AH25" s="199" t="str">
        <f t="shared" si="1"/>
        <v/>
      </c>
      <c r="AI25" s="197" t="str">
        <f t="shared" si="2"/>
        <v/>
      </c>
      <c r="AJ25" s="199" t="str">
        <f t="shared" si="3"/>
        <v/>
      </c>
      <c r="AK25" s="197" t="str">
        <f>IFERROR(IF(Y25="Impacto",(T25-(+T25*AB25)),IF(Y25="Probabilidad",T25,"")),"")</f>
        <v/>
      </c>
      <c r="AL25" s="199" t="str">
        <f t="shared" si="4"/>
        <v/>
      </c>
      <c r="AM25" s="360" t="s">
        <v>75</v>
      </c>
      <c r="AN25" s="192">
        <v>1</v>
      </c>
      <c r="AO25" s="358"/>
      <c r="AP25" s="362"/>
      <c r="AQ25" s="364"/>
      <c r="AR25" s="364"/>
      <c r="AS25" s="410"/>
      <c r="AT25" s="221"/>
      <c r="AU25" s="221"/>
      <c r="AV25" s="221"/>
      <c r="AW25" s="221"/>
      <c r="AX25" s="221"/>
      <c r="AY25" s="221"/>
      <c r="AZ25" s="336"/>
      <c r="BA25" s="219"/>
      <c r="BB25" s="219"/>
      <c r="BC25" s="329"/>
      <c r="BD25" s="222"/>
      <c r="BE25" s="185"/>
      <c r="BF25" s="185"/>
      <c r="BG25" s="185"/>
      <c r="BH25" s="185"/>
      <c r="BI25" s="185"/>
      <c r="BJ25" s="185"/>
      <c r="BK25" s="185"/>
      <c r="BL25" s="185"/>
      <c r="BM25" s="185"/>
      <c r="BN25" s="185"/>
      <c r="BO25" s="185"/>
      <c r="BP25" s="185"/>
      <c r="BQ25" s="185"/>
      <c r="BR25" s="185"/>
      <c r="BS25" s="185"/>
      <c r="BT25" s="185"/>
      <c r="BU25" s="185"/>
      <c r="BV25" s="185"/>
      <c r="BW25" s="185"/>
      <c r="BX25" s="185"/>
      <c r="BY25" s="185"/>
      <c r="BZ25" s="185"/>
      <c r="CA25" s="185"/>
      <c r="CB25" s="185"/>
      <c r="CC25" s="185"/>
      <c r="CD25" s="185"/>
    </row>
    <row r="26" spans="4:82" s="183" customFormat="1" ht="39.75" customHeight="1">
      <c r="D26" s="371"/>
      <c r="E26" s="355"/>
      <c r="F26" s="355"/>
      <c r="G26" s="357"/>
      <c r="H26" s="355"/>
      <c r="I26" s="359"/>
      <c r="J26" s="359"/>
      <c r="K26" s="359"/>
      <c r="L26" s="349"/>
      <c r="M26" s="367"/>
      <c r="N26" s="367"/>
      <c r="O26" s="349"/>
      <c r="P26" s="351"/>
      <c r="Q26" s="353"/>
      <c r="R26" s="373"/>
      <c r="S26" s="351"/>
      <c r="T26" s="353"/>
      <c r="U26" s="351"/>
      <c r="V26" s="200">
        <v>2</v>
      </c>
      <c r="W26" s="193"/>
      <c r="X26" s="194"/>
      <c r="Y26" s="195" t="str">
        <f t="shared" si="7"/>
        <v/>
      </c>
      <c r="Z26" s="196"/>
      <c r="AA26" s="196"/>
      <c r="AB26" s="197" t="str">
        <f t="shared" si="0"/>
        <v/>
      </c>
      <c r="AC26" s="196"/>
      <c r="AD26" s="196"/>
      <c r="AE26" s="184"/>
      <c r="AF26" s="215"/>
      <c r="AG26" s="198" t="str">
        <f>IFERROR(IF(Y26="Probabilidad",(Q25-(+Q26*AB26)),IF(Y26="Impacto",Q26,"")),"")</f>
        <v/>
      </c>
      <c r="AH26" s="199" t="str">
        <f t="shared" si="1"/>
        <v/>
      </c>
      <c r="AI26" s="197" t="str">
        <f t="shared" si="2"/>
        <v/>
      </c>
      <c r="AJ26" s="199" t="str">
        <f t="shared" si="3"/>
        <v/>
      </c>
      <c r="AK26" s="197" t="str">
        <f t="shared" ref="AK24:AK32" si="17">IFERROR(IF(Y26="Impacto",(T25-(+T25*AB26)),IF(Y26="Probabilidad",T25,"")),"")</f>
        <v/>
      </c>
      <c r="AL26" s="199" t="str">
        <f t="shared" si="4"/>
        <v/>
      </c>
      <c r="AM26" s="361"/>
      <c r="AN26" s="200">
        <v>2</v>
      </c>
      <c r="AO26" s="359"/>
      <c r="AP26" s="363"/>
      <c r="AQ26" s="365"/>
      <c r="AR26" s="365"/>
      <c r="AS26" s="410"/>
      <c r="AT26" s="221"/>
      <c r="AU26" s="221"/>
      <c r="AV26" s="221"/>
      <c r="AW26" s="221"/>
      <c r="AX26" s="221"/>
      <c r="AY26" s="221"/>
      <c r="AZ26" s="336"/>
      <c r="BA26" s="219"/>
      <c r="BB26" s="219"/>
      <c r="BC26" s="329"/>
      <c r="BD26" s="222"/>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c r="CA26" s="185"/>
      <c r="CB26" s="185"/>
      <c r="CC26" s="185"/>
      <c r="CD26" s="185"/>
    </row>
    <row r="27" spans="4:82" s="183" customFormat="1" ht="39.75" customHeight="1">
      <c r="D27" s="370">
        <v>7</v>
      </c>
      <c r="E27" s="354"/>
      <c r="F27" s="354"/>
      <c r="G27" s="356"/>
      <c r="H27" s="354"/>
      <c r="I27" s="358"/>
      <c r="J27" s="358"/>
      <c r="K27" s="358"/>
      <c r="L27" s="348"/>
      <c r="M27" s="366"/>
      <c r="N27" s="366"/>
      <c r="O27" s="348"/>
      <c r="P27" s="350" t="str">
        <f t="shared" si="12"/>
        <v/>
      </c>
      <c r="Q27" s="352" t="str">
        <f t="shared" ref="Q27" si="18">IF(P27="","",IF(P27="Muy Baja",0.2,IF(P27="Baja",0.4,IF(P27="Media",0.6,IF(P27="Alta",0.8,IF(P27="Muy Alta",1,))))))</f>
        <v/>
      </c>
      <c r="R27" s="372"/>
      <c r="S27" s="350" t="str">
        <f>IFERROR(VLOOKUP(R27,Criterios[],2,FALSE),"")</f>
        <v/>
      </c>
      <c r="T27" s="352" t="str">
        <f t="shared" ref="T27" si="19">IF(S27="","",IF(S27="Leve",0.2,IF(S27="Menor",0.4,IF(S27="Moderado",0.6,IF(S27="Mayor",0.8,IF(S27="Catastrófico",1,))))))</f>
        <v/>
      </c>
      <c r="U27" s="350" t="str">
        <f>IF(OR(AND(P27="Muy Baja",S27="Leve"),AND(P27="Muy Baja",S27="Menor"),AND(P27="Baja",S27="Leve")),"Bajo",IF(OR(AND(P27="Muy baja",S27="Moderado"),AND(P27="Baja",S27="Menor"),AND(P27="Baja",S27="Moderado"),AND(P27="Media",S27="Leve"),AND(P27="Media",S27="Menor"),AND(P27="Media",S27="Moderado"),AND(P27="Alta",S27="Leve"),AND(P27="Alta",S27="Menor")),"Moderado",IF(OR(AND(P27="Muy Baja",S27="Mayor"),AND(P27="Baja",S27="Mayor"),AND(P27="Media",S27="Mayor"),AND(P27="Alta",S27="Moderado"),AND(P27="Alta",S27="Mayor"),AND(P27="Muy Alta",S27="Leve"),AND(P27="Muy Alta",S27="Menor"),AND(P27="Muy Alta",S27="Moderado"),AND(P27="Muy Alta",S27="Mayor")),"Alto",IF(OR(AND(P27="Muy Baja",S27="Catastrófico"),AND(P27="Baja",S27="Catastrófico"),AND(P27="Media",S27="Catastrófico"),AND(P27="Alta",S27="Catastrófico"),AND(P27="Muy Alta",S27="Catastrófico")),"Extremo",""))))</f>
        <v/>
      </c>
      <c r="V27" s="192">
        <v>1</v>
      </c>
      <c r="W27" s="193"/>
      <c r="X27" s="194"/>
      <c r="Y27" s="195" t="str">
        <f t="shared" si="7"/>
        <v/>
      </c>
      <c r="Z27" s="196"/>
      <c r="AA27" s="196"/>
      <c r="AB27" s="197" t="str">
        <f t="shared" si="0"/>
        <v/>
      </c>
      <c r="AC27" s="196"/>
      <c r="AD27" s="196"/>
      <c r="AE27" s="184"/>
      <c r="AF27" s="215"/>
      <c r="AG27" s="198" t="str">
        <f>IFERROR(IF(Y27="Probabilidad",(Q27-(+Q27*AB27)),IF(Y27="Impacto",Q27,"")),"")</f>
        <v/>
      </c>
      <c r="AH27" s="199" t="str">
        <f t="shared" si="1"/>
        <v/>
      </c>
      <c r="AI27" s="197" t="str">
        <f t="shared" si="2"/>
        <v/>
      </c>
      <c r="AJ27" s="199" t="str">
        <f t="shared" si="3"/>
        <v/>
      </c>
      <c r="AK27" s="197" t="str">
        <f>IFERROR(IF(Y27="Impacto",(T27-(+T27*AB27)),IF(Y27="Probabilidad",T27,"")),"")</f>
        <v/>
      </c>
      <c r="AL27" s="199" t="str">
        <f t="shared" si="4"/>
        <v/>
      </c>
      <c r="AM27" s="360" t="s">
        <v>75</v>
      </c>
      <c r="AN27" s="192">
        <v>1</v>
      </c>
      <c r="AO27" s="358"/>
      <c r="AP27" s="362"/>
      <c r="AQ27" s="364"/>
      <c r="AR27" s="364"/>
      <c r="AS27" s="410"/>
      <c r="AT27" s="221"/>
      <c r="AU27" s="221"/>
      <c r="AV27" s="221"/>
      <c r="AW27" s="221"/>
      <c r="AX27" s="221"/>
      <c r="AY27" s="221"/>
      <c r="AZ27" s="336"/>
      <c r="BA27" s="219"/>
      <c r="BB27" s="219"/>
      <c r="BC27" s="329"/>
      <c r="BD27" s="222"/>
      <c r="BE27" s="185"/>
      <c r="BF27" s="185"/>
      <c r="BG27" s="185"/>
      <c r="BH27" s="185"/>
      <c r="BI27" s="185"/>
      <c r="BJ27" s="185"/>
      <c r="BK27" s="185"/>
      <c r="BL27" s="185"/>
      <c r="BM27" s="185"/>
      <c r="BN27" s="185"/>
      <c r="BO27" s="185"/>
      <c r="BP27" s="185"/>
      <c r="BQ27" s="185"/>
      <c r="BR27" s="185"/>
      <c r="BS27" s="185"/>
      <c r="BT27" s="185"/>
      <c r="BU27" s="185"/>
      <c r="BV27" s="185"/>
      <c r="BW27" s="185"/>
      <c r="BX27" s="185"/>
      <c r="BY27" s="185"/>
      <c r="BZ27" s="185"/>
      <c r="CA27" s="185"/>
      <c r="CB27" s="185"/>
      <c r="CC27" s="185"/>
      <c r="CD27" s="185"/>
    </row>
    <row r="28" spans="4:82" s="183" customFormat="1" ht="39.75" customHeight="1">
      <c r="D28" s="371"/>
      <c r="E28" s="355"/>
      <c r="F28" s="355"/>
      <c r="G28" s="357"/>
      <c r="H28" s="355"/>
      <c r="I28" s="359"/>
      <c r="J28" s="359"/>
      <c r="K28" s="359"/>
      <c r="L28" s="349"/>
      <c r="M28" s="367"/>
      <c r="N28" s="367"/>
      <c r="O28" s="349"/>
      <c r="P28" s="351"/>
      <c r="Q28" s="353"/>
      <c r="R28" s="373"/>
      <c r="S28" s="351"/>
      <c r="T28" s="353"/>
      <c r="U28" s="351"/>
      <c r="V28" s="200">
        <v>2</v>
      </c>
      <c r="W28" s="193"/>
      <c r="X28" s="194"/>
      <c r="Y28" s="195" t="str">
        <f t="shared" si="7"/>
        <v/>
      </c>
      <c r="Z28" s="196"/>
      <c r="AA28" s="196"/>
      <c r="AB28" s="197" t="str">
        <f t="shared" si="0"/>
        <v/>
      </c>
      <c r="AC28" s="196"/>
      <c r="AD28" s="196"/>
      <c r="AE28" s="184"/>
      <c r="AF28" s="215"/>
      <c r="AG28" s="198" t="str">
        <f>IFERROR(IF(Y28="Probabilidad",(Q27-(+Q28*AB28)),IF(Y28="Impacto",Q28,"")),"")</f>
        <v/>
      </c>
      <c r="AH28" s="199" t="str">
        <f t="shared" si="1"/>
        <v/>
      </c>
      <c r="AI28" s="197" t="str">
        <f t="shared" si="2"/>
        <v/>
      </c>
      <c r="AJ28" s="199" t="str">
        <f t="shared" si="3"/>
        <v/>
      </c>
      <c r="AK28" s="197" t="str">
        <f t="shared" si="17"/>
        <v/>
      </c>
      <c r="AL28" s="199" t="str">
        <f t="shared" si="4"/>
        <v/>
      </c>
      <c r="AM28" s="361"/>
      <c r="AN28" s="200">
        <v>2</v>
      </c>
      <c r="AO28" s="359"/>
      <c r="AP28" s="363"/>
      <c r="AQ28" s="365"/>
      <c r="AR28" s="365"/>
      <c r="AS28" s="410"/>
      <c r="AT28" s="221"/>
      <c r="AU28" s="221"/>
      <c r="AV28" s="221"/>
      <c r="AW28" s="221"/>
      <c r="AX28" s="221"/>
      <c r="AY28" s="221"/>
      <c r="AZ28" s="336"/>
      <c r="BA28" s="219"/>
      <c r="BB28" s="219"/>
      <c r="BC28" s="329"/>
      <c r="BD28" s="222"/>
      <c r="BE28" s="185"/>
      <c r="BF28" s="185"/>
      <c r="BG28" s="185"/>
      <c r="BH28" s="185"/>
      <c r="BI28" s="185"/>
      <c r="BJ28" s="185"/>
      <c r="BK28" s="185"/>
      <c r="BL28" s="185"/>
      <c r="BM28" s="185"/>
      <c r="BN28" s="185"/>
      <c r="BO28" s="185"/>
      <c r="BP28" s="185"/>
      <c r="BQ28" s="185"/>
      <c r="BR28" s="185"/>
      <c r="BS28" s="185"/>
      <c r="BT28" s="185"/>
      <c r="BU28" s="185"/>
      <c r="BV28" s="185"/>
      <c r="BW28" s="185"/>
      <c r="BX28" s="185"/>
      <c r="BY28" s="185"/>
      <c r="BZ28" s="185"/>
      <c r="CA28" s="185"/>
      <c r="CB28" s="185"/>
      <c r="CC28" s="185"/>
      <c r="CD28" s="185"/>
    </row>
    <row r="29" spans="4:82" s="183" customFormat="1" ht="39.75" customHeight="1">
      <c r="D29" s="374">
        <v>8</v>
      </c>
      <c r="E29" s="354"/>
      <c r="F29" s="354"/>
      <c r="G29" s="356"/>
      <c r="H29" s="354"/>
      <c r="I29" s="358"/>
      <c r="J29" s="358"/>
      <c r="K29" s="358"/>
      <c r="L29" s="348"/>
      <c r="M29" s="366"/>
      <c r="N29" s="366"/>
      <c r="O29" s="348"/>
      <c r="P29" s="350" t="str">
        <f t="shared" si="12"/>
        <v/>
      </c>
      <c r="Q29" s="352" t="str">
        <f t="shared" ref="Q29" si="20">IF(P29="","",IF(P29="Muy Baja",0.2,IF(P29="Baja",0.4,IF(P29="Media",0.6,IF(P29="Alta",0.8,IF(P29="Muy Alta",1,))))))</f>
        <v/>
      </c>
      <c r="R29" s="372"/>
      <c r="S29" s="350" t="str">
        <f>IFERROR(VLOOKUP(R29,Criterios[],2,FALSE),"")</f>
        <v/>
      </c>
      <c r="T29" s="352" t="str">
        <f t="shared" ref="T29" si="21">IF(S29="","",IF(S29="Leve",0.2,IF(S29="Menor",0.4,IF(S29="Moderado",0.6,IF(S29="Mayor",0.8,IF(S29="Catastrófico",1,))))))</f>
        <v/>
      </c>
      <c r="U29" s="350" t="str">
        <f>IF(OR(AND(P29="Muy Baja",S29="Leve"),AND(P29="Muy Baja",S29="Menor"),AND(P29="Baja",S29="Leve")),"Bajo",IF(OR(AND(P29="Muy baja",S29="Moderado"),AND(P29="Baja",S29="Menor"),AND(P29="Baja",S29="Moderado"),AND(P29="Media",S29="Leve"),AND(P29="Media",S29="Menor"),AND(P29="Media",S29="Moderado"),AND(P29="Alta",S29="Leve"),AND(P29="Alta",S29="Menor")),"Moderado",IF(OR(AND(P29="Muy Baja",S29="Mayor"),AND(P29="Baja",S29="Mayor"),AND(P29="Media",S29="Mayor"),AND(P29="Alta",S29="Moderado"),AND(P29="Alta",S29="Mayor"),AND(P29="Muy Alta",S29="Leve"),AND(P29="Muy Alta",S29="Menor"),AND(P29="Muy Alta",S29="Moderado"),AND(P29="Muy Alta",S29="Mayor")),"Alto",IF(OR(AND(P29="Muy Baja",S29="Catastrófico"),AND(P29="Baja",S29="Catastrófico"),AND(P29="Media",S29="Catastrófico"),AND(P29="Alta",S29="Catastrófico"),AND(P29="Muy Alta",S29="Catastrófico")),"Extremo",""))))</f>
        <v/>
      </c>
      <c r="V29" s="192">
        <v>1</v>
      </c>
      <c r="W29" s="193"/>
      <c r="X29" s="194"/>
      <c r="Y29" s="195" t="str">
        <f t="shared" si="7"/>
        <v/>
      </c>
      <c r="Z29" s="196"/>
      <c r="AA29" s="196"/>
      <c r="AB29" s="197" t="str">
        <f t="shared" si="0"/>
        <v/>
      </c>
      <c r="AC29" s="196"/>
      <c r="AD29" s="196"/>
      <c r="AE29" s="184"/>
      <c r="AF29" s="215"/>
      <c r="AG29" s="198" t="str">
        <f>IFERROR(IF(Y29="Probabilidad",(Q29-(+Q29*AB29)),IF(Y29="Impacto",Q29,"")),"")</f>
        <v/>
      </c>
      <c r="AH29" s="199" t="str">
        <f t="shared" si="1"/>
        <v/>
      </c>
      <c r="AI29" s="197" t="str">
        <f t="shared" si="2"/>
        <v/>
      </c>
      <c r="AJ29" s="199" t="str">
        <f t="shared" si="3"/>
        <v/>
      </c>
      <c r="AK29" s="197" t="str">
        <f>IFERROR(IF(Y29="Impacto",(T29-(+T29*AB29)),IF(Y29="Probabilidad",T29,"")),"")</f>
        <v/>
      </c>
      <c r="AL29" s="199" t="str">
        <f t="shared" si="4"/>
        <v/>
      </c>
      <c r="AM29" s="360" t="s">
        <v>75</v>
      </c>
      <c r="AN29" s="192">
        <v>1</v>
      </c>
      <c r="AO29" s="358"/>
      <c r="AP29" s="362"/>
      <c r="AQ29" s="364"/>
      <c r="AR29" s="364"/>
      <c r="AS29" s="410"/>
      <c r="AT29" s="221"/>
      <c r="AU29" s="221"/>
      <c r="AV29" s="221"/>
      <c r="AW29" s="221"/>
      <c r="AX29" s="221"/>
      <c r="AY29" s="221"/>
      <c r="AZ29" s="336"/>
      <c r="BA29" s="219"/>
      <c r="BB29" s="219"/>
      <c r="BC29" s="329"/>
      <c r="BD29" s="222"/>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row>
    <row r="30" spans="4:82" s="183" customFormat="1" ht="39.75" customHeight="1">
      <c r="D30" s="375"/>
      <c r="E30" s="355"/>
      <c r="F30" s="355"/>
      <c r="G30" s="357"/>
      <c r="H30" s="355"/>
      <c r="I30" s="359"/>
      <c r="J30" s="359"/>
      <c r="K30" s="359"/>
      <c r="L30" s="349"/>
      <c r="M30" s="367"/>
      <c r="N30" s="367"/>
      <c r="O30" s="349"/>
      <c r="P30" s="351"/>
      <c r="Q30" s="353"/>
      <c r="R30" s="373"/>
      <c r="S30" s="351"/>
      <c r="T30" s="353"/>
      <c r="U30" s="351"/>
      <c r="V30" s="200">
        <v>2</v>
      </c>
      <c r="W30" s="193"/>
      <c r="X30" s="194"/>
      <c r="Y30" s="195" t="str">
        <f t="shared" si="7"/>
        <v/>
      </c>
      <c r="Z30" s="196"/>
      <c r="AA30" s="196"/>
      <c r="AB30" s="197" t="str">
        <f t="shared" si="0"/>
        <v/>
      </c>
      <c r="AC30" s="196"/>
      <c r="AD30" s="196"/>
      <c r="AE30" s="184"/>
      <c r="AF30" s="215"/>
      <c r="AG30" s="198" t="str">
        <f>IFERROR(IF(Y30="Probabilidad",(Q29-(+Q30*AB30)),IF(Y30="Impacto",Q30,"")),"")</f>
        <v/>
      </c>
      <c r="AH30" s="199" t="str">
        <f t="shared" si="1"/>
        <v/>
      </c>
      <c r="AI30" s="197" t="str">
        <f t="shared" si="2"/>
        <v/>
      </c>
      <c r="AJ30" s="199" t="str">
        <f t="shared" si="3"/>
        <v/>
      </c>
      <c r="AK30" s="197" t="str">
        <f t="shared" si="17"/>
        <v/>
      </c>
      <c r="AL30" s="199" t="str">
        <f t="shared" si="4"/>
        <v/>
      </c>
      <c r="AM30" s="361"/>
      <c r="AN30" s="200">
        <v>2</v>
      </c>
      <c r="AO30" s="359"/>
      <c r="AP30" s="363"/>
      <c r="AQ30" s="365"/>
      <c r="AR30" s="365"/>
      <c r="AS30" s="410"/>
      <c r="AT30" s="221"/>
      <c r="AU30" s="221"/>
      <c r="AV30" s="221"/>
      <c r="AW30" s="221"/>
      <c r="AX30" s="221"/>
      <c r="AY30" s="221"/>
      <c r="AZ30" s="336"/>
      <c r="BA30" s="219"/>
      <c r="BB30" s="219"/>
      <c r="BC30" s="329"/>
      <c r="BD30" s="222"/>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row>
    <row r="31" spans="4:82" s="183" customFormat="1" ht="39.75" customHeight="1">
      <c r="D31" s="368">
        <v>9</v>
      </c>
      <c r="E31" s="354"/>
      <c r="F31" s="354"/>
      <c r="G31" s="356"/>
      <c r="H31" s="354"/>
      <c r="I31" s="358"/>
      <c r="J31" s="358"/>
      <c r="K31" s="358"/>
      <c r="L31" s="348"/>
      <c r="M31" s="366"/>
      <c r="N31" s="366"/>
      <c r="O31" s="348"/>
      <c r="P31" s="350" t="str">
        <f t="shared" si="12"/>
        <v/>
      </c>
      <c r="Q31" s="352" t="str">
        <f t="shared" ref="Q31" si="22">IF(P31="","",IF(P31="Muy Baja",0.2,IF(P31="Baja",0.4,IF(P31="Media",0.6,IF(P31="Alta",0.8,IF(P31="Muy Alta",1,))))))</f>
        <v/>
      </c>
      <c r="R31" s="372"/>
      <c r="S31" s="350" t="str">
        <f>IFERROR(VLOOKUP(R31,Criterios[],2,FALSE),"")</f>
        <v/>
      </c>
      <c r="T31" s="352" t="str">
        <f t="shared" ref="T31" si="23">IF(S31="","",IF(S31="Leve",0.2,IF(S31="Menor",0.4,IF(S31="Moderado",0.6,IF(S31="Mayor",0.8,IF(S31="Catastrófico",1,))))))</f>
        <v/>
      </c>
      <c r="U31" s="350" t="str">
        <f>IF(OR(AND(P31="Muy Baja",S31="Leve"),AND(P31="Muy Baja",S31="Menor"),AND(P31="Baja",S31="Leve")),"Bajo",IF(OR(AND(P31="Muy baja",S31="Moderado"),AND(P31="Baja",S31="Menor"),AND(P31="Baja",S31="Moderado"),AND(P31="Media",S31="Leve"),AND(P31="Media",S31="Menor"),AND(P31="Media",S31="Moderado"),AND(P31="Alta",S31="Leve"),AND(P31="Alta",S31="Menor")),"Moderado",IF(OR(AND(P31="Muy Baja",S31="Mayor"),AND(P31="Baja",S31="Mayor"),AND(P31="Media",S31="Mayor"),AND(P31="Alta",S31="Moderado"),AND(P31="Alta",S31="Mayor"),AND(P31="Muy Alta",S31="Leve"),AND(P31="Muy Alta",S31="Menor"),AND(P31="Muy Alta",S31="Moderado"),AND(P31="Muy Alta",S31="Mayor")),"Alto",IF(OR(AND(P31="Muy Baja",S31="Catastrófico"),AND(P31="Baja",S31="Catastrófico"),AND(P31="Media",S31="Catastrófico"),AND(P31="Alta",S31="Catastrófico"),AND(P31="Muy Alta",S31="Catastrófico")),"Extremo",""))))</f>
        <v/>
      </c>
      <c r="V31" s="192">
        <v>1</v>
      </c>
      <c r="W31" s="193"/>
      <c r="X31" s="194"/>
      <c r="Y31" s="195" t="str">
        <f t="shared" si="7"/>
        <v/>
      </c>
      <c r="Z31" s="196"/>
      <c r="AA31" s="196"/>
      <c r="AB31" s="197" t="str">
        <f t="shared" si="0"/>
        <v/>
      </c>
      <c r="AC31" s="196"/>
      <c r="AD31" s="196"/>
      <c r="AE31" s="184"/>
      <c r="AF31" s="215"/>
      <c r="AG31" s="198" t="str">
        <f>IFERROR(IF(Y31="Probabilidad",(Q31-(+Q31*AB31)),IF(Y31="Impacto",Q31,"")),"")</f>
        <v/>
      </c>
      <c r="AH31" s="199" t="str">
        <f t="shared" si="1"/>
        <v/>
      </c>
      <c r="AI31" s="197" t="str">
        <f t="shared" si="2"/>
        <v/>
      </c>
      <c r="AJ31" s="199" t="str">
        <f t="shared" si="3"/>
        <v/>
      </c>
      <c r="AK31" s="197" t="str">
        <f>IFERROR(IF(Y31="Impacto",(T31-(+T31*AB31)),IF(Y31="Probabilidad",T31,"")),"")</f>
        <v/>
      </c>
      <c r="AL31" s="199" t="str">
        <f t="shared" si="4"/>
        <v/>
      </c>
      <c r="AM31" s="360" t="s">
        <v>75</v>
      </c>
      <c r="AN31" s="192">
        <v>1</v>
      </c>
      <c r="AO31" s="358"/>
      <c r="AP31" s="362"/>
      <c r="AQ31" s="364"/>
      <c r="AR31" s="364"/>
      <c r="AS31" s="410"/>
      <c r="AT31" s="221"/>
      <c r="AU31" s="221"/>
      <c r="AV31" s="221"/>
      <c r="AW31" s="221"/>
      <c r="AX31" s="221"/>
      <c r="AY31" s="221"/>
      <c r="AZ31" s="336"/>
      <c r="BA31" s="219"/>
      <c r="BB31" s="219"/>
      <c r="BC31" s="329"/>
      <c r="BD31" s="222"/>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row>
    <row r="32" spans="4:82" s="183" customFormat="1" ht="39.75" customHeight="1">
      <c r="D32" s="369"/>
      <c r="E32" s="355"/>
      <c r="F32" s="355"/>
      <c r="G32" s="357"/>
      <c r="H32" s="355"/>
      <c r="I32" s="359"/>
      <c r="J32" s="359"/>
      <c r="K32" s="359"/>
      <c r="L32" s="349"/>
      <c r="M32" s="367"/>
      <c r="N32" s="367"/>
      <c r="O32" s="349"/>
      <c r="P32" s="351"/>
      <c r="Q32" s="353"/>
      <c r="R32" s="373"/>
      <c r="S32" s="351"/>
      <c r="T32" s="353"/>
      <c r="U32" s="351"/>
      <c r="V32" s="200">
        <v>2</v>
      </c>
      <c r="W32" s="193"/>
      <c r="X32" s="194"/>
      <c r="Y32" s="195" t="str">
        <f t="shared" si="7"/>
        <v/>
      </c>
      <c r="Z32" s="196"/>
      <c r="AA32" s="196"/>
      <c r="AB32" s="197" t="str">
        <f t="shared" si="0"/>
        <v/>
      </c>
      <c r="AC32" s="196"/>
      <c r="AD32" s="196"/>
      <c r="AE32" s="184"/>
      <c r="AF32" s="217"/>
      <c r="AG32" s="198" t="str">
        <f>IFERROR(IF(Y32="Probabilidad",(Q31-(+Q32*AB32)),IF(Y32="Impacto",Q32,"")),"")</f>
        <v/>
      </c>
      <c r="AH32" s="199" t="str">
        <f t="shared" si="1"/>
        <v/>
      </c>
      <c r="AI32" s="197" t="str">
        <f t="shared" si="2"/>
        <v/>
      </c>
      <c r="AJ32" s="199" t="str">
        <f t="shared" si="3"/>
        <v/>
      </c>
      <c r="AK32" s="197" t="str">
        <f t="shared" si="17"/>
        <v/>
      </c>
      <c r="AL32" s="199" t="str">
        <f t="shared" si="4"/>
        <v/>
      </c>
      <c r="AM32" s="361"/>
      <c r="AN32" s="200">
        <v>2</v>
      </c>
      <c r="AO32" s="359"/>
      <c r="AP32" s="363"/>
      <c r="AQ32" s="365"/>
      <c r="AR32" s="365"/>
      <c r="AS32" s="411"/>
      <c r="AT32" s="221"/>
      <c r="AU32" s="221"/>
      <c r="AV32" s="221"/>
      <c r="AW32" s="221"/>
      <c r="AX32" s="221"/>
      <c r="AY32" s="221"/>
      <c r="AZ32" s="337"/>
      <c r="BA32" s="219"/>
      <c r="BB32" s="219"/>
      <c r="BC32" s="330"/>
      <c r="BD32" s="222"/>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row>
    <row r="33" spans="4:60" ht="49.5" customHeight="1">
      <c r="D33" s="186"/>
      <c r="E33" s="187"/>
      <c r="F33" s="187"/>
      <c r="G33" s="187"/>
      <c r="H33" s="187"/>
      <c r="I33" s="384" t="s">
        <v>76</v>
      </c>
      <c r="J33" s="384"/>
      <c r="K33" s="384"/>
      <c r="L33" s="384"/>
      <c r="M33" s="384"/>
      <c r="N33" s="384"/>
      <c r="O33" s="384"/>
      <c r="P33" s="384"/>
      <c r="Q33" s="384"/>
      <c r="R33" s="384"/>
      <c r="S33" s="384"/>
      <c r="T33" s="384"/>
      <c r="U33" s="384"/>
      <c r="V33" s="384"/>
      <c r="W33" s="384"/>
      <c r="X33" s="384"/>
      <c r="Y33" s="384"/>
      <c r="Z33" s="384"/>
      <c r="AA33" s="384"/>
      <c r="AB33" s="384"/>
      <c r="AC33" s="384"/>
      <c r="AD33" s="384"/>
      <c r="AE33" s="384"/>
      <c r="AF33" s="384"/>
      <c r="AG33" s="384"/>
      <c r="AH33" s="384"/>
      <c r="AI33" s="384"/>
      <c r="AJ33" s="384"/>
      <c r="AK33" s="384"/>
      <c r="AL33" s="384"/>
      <c r="AM33" s="384"/>
      <c r="AN33" s="384"/>
      <c r="AO33" s="384"/>
      <c r="AP33" s="384"/>
      <c r="AQ33" s="384"/>
      <c r="AR33" s="384"/>
      <c r="AS33" s="384"/>
      <c r="AT33" s="384"/>
      <c r="AU33" s="384"/>
      <c r="AV33" s="384"/>
      <c r="AW33" s="384"/>
      <c r="AX33" s="384"/>
      <c r="AY33" s="384"/>
    </row>
    <row r="35" spans="4:60" ht="15.75">
      <c r="D35" s="104"/>
      <c r="E35" s="105"/>
      <c r="F35" s="105"/>
      <c r="G35" s="105"/>
      <c r="H35" s="105"/>
      <c r="I35" s="105"/>
      <c r="J35" s="105"/>
      <c r="K35" s="105"/>
      <c r="L35" s="169"/>
      <c r="M35" s="169"/>
      <c r="N35" s="169"/>
      <c r="P35" s="106"/>
      <c r="Q35" s="105"/>
      <c r="R35" s="105"/>
      <c r="S35" s="105"/>
      <c r="T35" s="105"/>
      <c r="U35" s="105"/>
      <c r="V35" s="105"/>
      <c r="W35" s="105"/>
      <c r="X35" s="105"/>
      <c r="Y35" s="107"/>
      <c r="Z35" s="107"/>
      <c r="AA35" s="105"/>
      <c r="AB35" s="105"/>
      <c r="AC35" s="105"/>
      <c r="AD35" s="105"/>
      <c r="AE35" s="105"/>
      <c r="AF35" s="105"/>
      <c r="AG35" s="105"/>
      <c r="AH35" s="105"/>
      <c r="AI35" s="105"/>
      <c r="AJ35" s="105"/>
      <c r="AK35" s="105"/>
      <c r="AL35" s="105"/>
      <c r="AM35" s="108"/>
      <c r="AN35" s="108"/>
      <c r="AO35" s="108"/>
      <c r="AP35" s="105"/>
      <c r="AQ35" s="105"/>
      <c r="AR35" s="105"/>
      <c r="AS35" s="105"/>
      <c r="AT35" s="105"/>
      <c r="AU35" s="105"/>
      <c r="AV35" s="105"/>
      <c r="AW35" s="105"/>
      <c r="AX35" s="105"/>
      <c r="AY35" s="105"/>
      <c r="AZ35" s="105"/>
      <c r="BA35" s="105"/>
    </row>
    <row r="36" spans="4:60" ht="18">
      <c r="D36" s="380" t="s">
        <v>77</v>
      </c>
      <c r="E36" s="380"/>
      <c r="F36" s="380"/>
      <c r="G36" s="380"/>
      <c r="H36" s="380"/>
      <c r="I36" s="380"/>
      <c r="J36" s="380"/>
      <c r="K36" s="380"/>
      <c r="L36" s="169"/>
      <c r="M36" s="169"/>
      <c r="N36" s="169"/>
      <c r="O36" s="381"/>
      <c r="P36" s="382"/>
      <c r="Q36" s="382"/>
      <c r="R36" s="383"/>
      <c r="S36" s="105"/>
      <c r="T36" s="105"/>
      <c r="U36" s="105"/>
      <c r="V36" s="105"/>
      <c r="W36" s="105"/>
      <c r="X36" s="108"/>
      <c r="Y36" s="107"/>
      <c r="Z36" s="107"/>
      <c r="AA36" s="105"/>
      <c r="AB36" s="107"/>
      <c r="AC36" s="107"/>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H36" s="169" t="s">
        <v>78</v>
      </c>
    </row>
    <row r="37" spans="4:60" ht="15" thickBot="1">
      <c r="D37" s="169"/>
      <c r="E37" s="169"/>
      <c r="F37" s="169"/>
      <c r="G37" s="169"/>
      <c r="H37" s="169"/>
      <c r="I37" s="169"/>
      <c r="J37" s="169"/>
      <c r="L37" s="169"/>
      <c r="M37" s="169"/>
      <c r="N37" s="169"/>
      <c r="P37" s="171" t="str">
        <f>+IFERROR(VLOOKUP(L37,$L$192:$P$196,3,FALSE)*VLOOKUP(O37,$O$192:$P$196,3,FALSE),"")</f>
        <v/>
      </c>
      <c r="Y37" s="171"/>
      <c r="Z37" s="188"/>
      <c r="AB37" s="188"/>
      <c r="AC37" s="188"/>
      <c r="AD37" s="189"/>
      <c r="AE37" s="189"/>
      <c r="AF37" s="189"/>
      <c r="AG37" s="189"/>
      <c r="AH37" s="189"/>
      <c r="AI37" s="109"/>
      <c r="AJ37" s="109"/>
      <c r="AK37" s="189"/>
      <c r="AL37" s="190"/>
      <c r="AQ37" s="189"/>
      <c r="AY37" s="189"/>
      <c r="AZ37" s="189"/>
      <c r="BH37" s="169" t="s">
        <v>79</v>
      </c>
    </row>
    <row r="38" spans="4:60" ht="17.850000000000001" customHeight="1" thickTop="1" thickBot="1">
      <c r="D38" s="379" t="s">
        <v>80</v>
      </c>
      <c r="E38" s="379"/>
      <c r="F38" s="379"/>
      <c r="G38" s="379"/>
      <c r="H38" s="379"/>
      <c r="I38" s="379"/>
      <c r="J38" s="379"/>
      <c r="K38" s="208" t="s">
        <v>81</v>
      </c>
      <c r="L38" s="379" t="s">
        <v>82</v>
      </c>
      <c r="M38" s="379"/>
      <c r="N38" s="379"/>
      <c r="O38" s="379"/>
      <c r="P38" s="379"/>
      <c r="Q38" s="379"/>
      <c r="R38" s="379"/>
      <c r="S38" s="376" t="s">
        <v>83</v>
      </c>
      <c r="T38" s="376"/>
      <c r="U38" s="376"/>
      <c r="V38" s="379" t="s">
        <v>84</v>
      </c>
      <c r="W38" s="379"/>
      <c r="X38" s="379"/>
      <c r="Y38" s="379"/>
      <c r="Z38" s="376">
        <v>1</v>
      </c>
      <c r="AA38" s="376"/>
      <c r="AB38" s="376"/>
      <c r="AC38" s="376"/>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0"/>
      <c r="BH38" s="169" t="s">
        <v>85</v>
      </c>
    </row>
    <row r="39" spans="4:60" ht="13.5" customHeight="1" thickTop="1">
      <c r="D39" s="377" t="s">
        <v>86</v>
      </c>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BH39" s="169" t="s">
        <v>87</v>
      </c>
    </row>
  </sheetData>
  <sheetProtection formatCells="0" formatColumns="0" formatRows="0" selectLockedCells="1"/>
  <protectedRanges>
    <protectedRange sqref="P1:P1048576" name="Rango1"/>
  </protectedRanges>
  <dataConsolidate/>
  <mergeCells count="284">
    <mergeCell ref="V38:Y38"/>
    <mergeCell ref="Z38:AC38"/>
    <mergeCell ref="I33:AY33"/>
    <mergeCell ref="D39:AC39"/>
    <mergeCell ref="M13:N13"/>
    <mergeCell ref="AF12:AF14"/>
    <mergeCell ref="A11:C11"/>
    <mergeCell ref="F13:F14"/>
    <mergeCell ref="G13:G14"/>
    <mergeCell ref="AH13:AH14"/>
    <mergeCell ref="AI13:AI14"/>
    <mergeCell ref="O13:O14"/>
    <mergeCell ref="P13:P14"/>
    <mergeCell ref="Q13:Q14"/>
    <mergeCell ref="S13:S14"/>
    <mergeCell ref="T13:T14"/>
    <mergeCell ref="L15:L16"/>
    <mergeCell ref="M15:M16"/>
    <mergeCell ref="D15:D16"/>
    <mergeCell ref="E15:E16"/>
    <mergeCell ref="G23:G24"/>
    <mergeCell ref="H23:H24"/>
    <mergeCell ref="U15:U16"/>
    <mergeCell ref="AM15:AM16"/>
    <mergeCell ref="BC11:BD12"/>
    <mergeCell ref="U13:U14"/>
    <mergeCell ref="AX13:AX14"/>
    <mergeCell ref="AR13:AR14"/>
    <mergeCell ref="AQ13:AQ14"/>
    <mergeCell ref="AP13:AP14"/>
    <mergeCell ref="AJ13:AJ14"/>
    <mergeCell ref="D11:AR11"/>
    <mergeCell ref="AS13:AS14"/>
    <mergeCell ref="BA13:BA14"/>
    <mergeCell ref="AW13:AW14"/>
    <mergeCell ref="AY13:AY14"/>
    <mergeCell ref="BC13:BC14"/>
    <mergeCell ref="E13:E14"/>
    <mergeCell ref="Y13:Y14"/>
    <mergeCell ref="H13:H14"/>
    <mergeCell ref="BB13:BB14"/>
    <mergeCell ref="BD13:BD14"/>
    <mergeCell ref="AZ13:AZ14"/>
    <mergeCell ref="AU13:AU14"/>
    <mergeCell ref="AV13:AV14"/>
    <mergeCell ref="AT13:AT14"/>
    <mergeCell ref="W13:W14"/>
    <mergeCell ref="AS11:AY12"/>
    <mergeCell ref="D2:H5"/>
    <mergeCell ref="I2:BC5"/>
    <mergeCell ref="H7:BD7"/>
    <mergeCell ref="AM13:AM14"/>
    <mergeCell ref="AL13:AL14"/>
    <mergeCell ref="AK13:AK14"/>
    <mergeCell ref="AG13:AG14"/>
    <mergeCell ref="X13:X14"/>
    <mergeCell ref="L13:L14"/>
    <mergeCell ref="D12:O12"/>
    <mergeCell ref="P12:U12"/>
    <mergeCell ref="K13:K14"/>
    <mergeCell ref="J13:J14"/>
    <mergeCell ref="I13:I14"/>
    <mergeCell ref="R13:R14"/>
    <mergeCell ref="D7:G7"/>
    <mergeCell ref="V12:AE12"/>
    <mergeCell ref="V13:V14"/>
    <mergeCell ref="D8:G8"/>
    <mergeCell ref="D9:G9"/>
    <mergeCell ref="H9:BD9"/>
    <mergeCell ref="H8:BD8"/>
    <mergeCell ref="D13:D14"/>
    <mergeCell ref="AZ11:BB12"/>
    <mergeCell ref="Q15:Q16"/>
    <mergeCell ref="R15:R16"/>
    <mergeCell ref="I19:I20"/>
    <mergeCell ref="I21:I22"/>
    <mergeCell ref="J19:J20"/>
    <mergeCell ref="J21:J22"/>
    <mergeCell ref="L19:L20"/>
    <mergeCell ref="L21:L22"/>
    <mergeCell ref="N19:N20"/>
    <mergeCell ref="N21:N22"/>
    <mergeCell ref="P19:P20"/>
    <mergeCell ref="P21:P22"/>
    <mergeCell ref="R19:R20"/>
    <mergeCell ref="R21:R22"/>
    <mergeCell ref="Q17:Q18"/>
    <mergeCell ref="Q19:Q20"/>
    <mergeCell ref="Q21:Q22"/>
    <mergeCell ref="O19:O20"/>
    <mergeCell ref="O21:O22"/>
    <mergeCell ref="K15:K16"/>
    <mergeCell ref="K17:K18"/>
    <mergeCell ref="K19:K20"/>
    <mergeCell ref="M19:M20"/>
    <mergeCell ref="M21:M22"/>
    <mergeCell ref="AO15:AO16"/>
    <mergeCell ref="AP15:AP16"/>
    <mergeCell ref="D38:J38"/>
    <mergeCell ref="O36:R36"/>
    <mergeCell ref="L38:R38"/>
    <mergeCell ref="S38:U38"/>
    <mergeCell ref="D36:K36"/>
    <mergeCell ref="I15:I16"/>
    <mergeCell ref="J15:J16"/>
    <mergeCell ref="F15:F16"/>
    <mergeCell ref="D19:D20"/>
    <mergeCell ref="E19:E20"/>
    <mergeCell ref="F19:F20"/>
    <mergeCell ref="G19:G20"/>
    <mergeCell ref="H19:H20"/>
    <mergeCell ref="E21:E22"/>
    <mergeCell ref="F21:F22"/>
    <mergeCell ref="G21:G22"/>
    <mergeCell ref="H21:H22"/>
    <mergeCell ref="F23:F24"/>
    <mergeCell ref="D21:D22"/>
    <mergeCell ref="N15:N16"/>
    <mergeCell ref="O15:O16"/>
    <mergeCell ref="P15:P16"/>
    <mergeCell ref="S15:S16"/>
    <mergeCell ref="T15:T16"/>
    <mergeCell ref="F31:F32"/>
    <mergeCell ref="G31:G32"/>
    <mergeCell ref="H31:H32"/>
    <mergeCell ref="AO13:AO14"/>
    <mergeCell ref="AG12:AM12"/>
    <mergeCell ref="Z13:AE13"/>
    <mergeCell ref="AO12:AR12"/>
    <mergeCell ref="R17:R18"/>
    <mergeCell ref="S17:S18"/>
    <mergeCell ref="U17:U18"/>
    <mergeCell ref="AN13:AN14"/>
    <mergeCell ref="G15:G16"/>
    <mergeCell ref="H15:H16"/>
    <mergeCell ref="AR15:AR16"/>
    <mergeCell ref="I23:I24"/>
    <mergeCell ref="I25:I26"/>
    <mergeCell ref="I27:I28"/>
    <mergeCell ref="I29:I30"/>
    <mergeCell ref="I31:I32"/>
    <mergeCell ref="J23:J24"/>
    <mergeCell ref="J25:J26"/>
    <mergeCell ref="J27:J28"/>
    <mergeCell ref="E17:E18"/>
    <mergeCell ref="D17:D18"/>
    <mergeCell ref="F17:F18"/>
    <mergeCell ref="G17:G18"/>
    <mergeCell ref="H17:H18"/>
    <mergeCell ref="J17:J18"/>
    <mergeCell ref="L17:L18"/>
    <mergeCell ref="N17:N18"/>
    <mergeCell ref="P17:P18"/>
    <mergeCell ref="I17:I18"/>
    <mergeCell ref="O17:O18"/>
    <mergeCell ref="M17:M18"/>
    <mergeCell ref="E23:E24"/>
    <mergeCell ref="D23:D24"/>
    <mergeCell ref="D25:D26"/>
    <mergeCell ref="E25:E26"/>
    <mergeCell ref="F25:F26"/>
    <mergeCell ref="G25:G26"/>
    <mergeCell ref="H25:H26"/>
    <mergeCell ref="D31:D32"/>
    <mergeCell ref="E31:E32"/>
    <mergeCell ref="D27:D28"/>
    <mergeCell ref="E27:E28"/>
    <mergeCell ref="F27:F28"/>
    <mergeCell ref="G27:G28"/>
    <mergeCell ref="H27:H28"/>
    <mergeCell ref="D29:D30"/>
    <mergeCell ref="E29:E30"/>
    <mergeCell ref="F29:F30"/>
    <mergeCell ref="G29:G30"/>
    <mergeCell ref="H29:H30"/>
    <mergeCell ref="J29:J30"/>
    <mergeCell ref="J31:J32"/>
    <mergeCell ref="K21:K22"/>
    <mergeCell ref="K23:K24"/>
    <mergeCell ref="K25:K26"/>
    <mergeCell ref="K27:K28"/>
    <mergeCell ref="K29:K30"/>
    <mergeCell ref="K31:K32"/>
    <mergeCell ref="L23:L24"/>
    <mergeCell ref="L25:L26"/>
    <mergeCell ref="L27:L28"/>
    <mergeCell ref="L29:L30"/>
    <mergeCell ref="L31:L32"/>
    <mergeCell ref="M23:M24"/>
    <mergeCell ref="M25:M26"/>
    <mergeCell ref="M27:M28"/>
    <mergeCell ref="M29:M30"/>
    <mergeCell ref="M31:M32"/>
    <mergeCell ref="N23:N24"/>
    <mergeCell ref="N25:N26"/>
    <mergeCell ref="N27:N28"/>
    <mergeCell ref="N29:N30"/>
    <mergeCell ref="N31:N32"/>
    <mergeCell ref="O23:O24"/>
    <mergeCell ref="O25:O26"/>
    <mergeCell ref="O27:O28"/>
    <mergeCell ref="O29:O30"/>
    <mergeCell ref="O31:O32"/>
    <mergeCell ref="R23:R24"/>
    <mergeCell ref="R25:R26"/>
    <mergeCell ref="R27:R28"/>
    <mergeCell ref="R29:R30"/>
    <mergeCell ref="R31:R32"/>
    <mergeCell ref="P23:P24"/>
    <mergeCell ref="P25:P26"/>
    <mergeCell ref="P27:P28"/>
    <mergeCell ref="P29:P30"/>
    <mergeCell ref="P31:P32"/>
    <mergeCell ref="Q23:Q24"/>
    <mergeCell ref="Q25:Q26"/>
    <mergeCell ref="Q27:Q28"/>
    <mergeCell ref="Q29:Q30"/>
    <mergeCell ref="Q31:Q32"/>
    <mergeCell ref="S23:S24"/>
    <mergeCell ref="S25:S26"/>
    <mergeCell ref="S27:S28"/>
    <mergeCell ref="S29:S30"/>
    <mergeCell ref="S31:S32"/>
    <mergeCell ref="T17:T18"/>
    <mergeCell ref="T19:T20"/>
    <mergeCell ref="T21:T22"/>
    <mergeCell ref="T23:T24"/>
    <mergeCell ref="T25:T26"/>
    <mergeCell ref="T27:T28"/>
    <mergeCell ref="T29:T30"/>
    <mergeCell ref="T31:T32"/>
    <mergeCell ref="S19:S20"/>
    <mergeCell ref="S21:S22"/>
    <mergeCell ref="U19:U20"/>
    <mergeCell ref="U21:U22"/>
    <mergeCell ref="U23:U24"/>
    <mergeCell ref="U25:U26"/>
    <mergeCell ref="U27:U28"/>
    <mergeCell ref="U29:U30"/>
    <mergeCell ref="U31:U32"/>
    <mergeCell ref="AM17:AM18"/>
    <mergeCell ref="AM19:AM20"/>
    <mergeCell ref="AM21:AM22"/>
    <mergeCell ref="AM23:AM24"/>
    <mergeCell ref="AM25:AM26"/>
    <mergeCell ref="AM27:AM28"/>
    <mergeCell ref="AM29:AM30"/>
    <mergeCell ref="AM31:AM32"/>
    <mergeCell ref="AO19:AO20"/>
    <mergeCell ref="AO21:AO22"/>
    <mergeCell ref="AO23:AO24"/>
    <mergeCell ref="AO25:AO26"/>
    <mergeCell ref="AO27:AO28"/>
    <mergeCell ref="AO29:AO30"/>
    <mergeCell ref="AO31:AO32"/>
    <mergeCell ref="AP17:AP18"/>
    <mergeCell ref="AQ17:AQ18"/>
    <mergeCell ref="AP25:AP26"/>
    <mergeCell ref="AQ25:AQ26"/>
    <mergeCell ref="AO17:AO18"/>
    <mergeCell ref="AZ15:AZ32"/>
    <mergeCell ref="BC15:BC32"/>
    <mergeCell ref="AS15:AS32"/>
    <mergeCell ref="AR25:AR26"/>
    <mergeCell ref="AP27:AP28"/>
    <mergeCell ref="AQ27:AQ28"/>
    <mergeCell ref="AR27:AR28"/>
    <mergeCell ref="AP29:AP30"/>
    <mergeCell ref="AQ29:AQ30"/>
    <mergeCell ref="AR29:AR30"/>
    <mergeCell ref="AP31:AP32"/>
    <mergeCell ref="AQ31:AQ32"/>
    <mergeCell ref="AR31:AR32"/>
    <mergeCell ref="AR17:AR18"/>
    <mergeCell ref="AP19:AP20"/>
    <mergeCell ref="AQ19:AQ20"/>
    <mergeCell ref="AR19:AR20"/>
    <mergeCell ref="AP21:AP22"/>
    <mergeCell ref="AQ21:AQ22"/>
    <mergeCell ref="AR21:AR22"/>
    <mergeCell ref="AP23:AP24"/>
    <mergeCell ref="AQ23:AQ24"/>
    <mergeCell ref="AR23:AR24"/>
    <mergeCell ref="AQ15:AQ16"/>
  </mergeCells>
  <conditionalFormatting sqref="P15 AH15:AH32 P17 P19 P21 P23 P25 P27 P29 P31">
    <cfRule type="cellIs" dxfId="143" priority="51" operator="equal">
      <formula>"Muy Alta"</formula>
    </cfRule>
    <cfRule type="cellIs" dxfId="142" priority="52" operator="equal">
      <formula>"Alta"</formula>
    </cfRule>
    <cfRule type="cellIs" dxfId="141" priority="53" operator="equal">
      <formula>"Media"</formula>
    </cfRule>
    <cfRule type="cellIs" dxfId="140" priority="54" operator="equal">
      <formula>"Baja"</formula>
    </cfRule>
    <cfRule type="cellIs" dxfId="139" priority="55" operator="equal">
      <formula>"Muy Baja"</formula>
    </cfRule>
  </conditionalFormatting>
  <conditionalFormatting sqref="S15 AJ15:AJ32 S17 S19 S21 S23 S25 S27 S29 S31">
    <cfRule type="cellIs" dxfId="138" priority="46" operator="equal">
      <formula>"Catastrófico"</formula>
    </cfRule>
    <cfRule type="cellIs" dxfId="137" priority="47" operator="equal">
      <formula>"Mayor"</formula>
    </cfRule>
    <cfRule type="cellIs" dxfId="136" priority="48" operator="equal">
      <formula>"Moderado"</formula>
    </cfRule>
    <cfRule type="cellIs" dxfId="135" priority="49" operator="equal">
      <formula>"Menor"</formula>
    </cfRule>
    <cfRule type="cellIs" dxfId="134" priority="50" operator="equal">
      <formula>"Leve"</formula>
    </cfRule>
  </conditionalFormatting>
  <conditionalFormatting sqref="U15 AL15:AL32 U17 U19 U21 U23 U25 U27 U29 U31">
    <cfRule type="cellIs" dxfId="133" priority="42" operator="equal">
      <formula>"Extremo"</formula>
    </cfRule>
    <cfRule type="cellIs" dxfId="132" priority="43" operator="equal">
      <formula>"Alto"</formula>
    </cfRule>
    <cfRule type="cellIs" dxfId="131" priority="44" operator="equal">
      <formula>"Moderado"</formula>
    </cfRule>
    <cfRule type="cellIs" dxfId="130" priority="45" operator="equal">
      <formula>"Bajo"</formula>
    </cfRule>
  </conditionalFormatting>
  <conditionalFormatting sqref="AI35:AI37">
    <cfRule type="cellIs" dxfId="129" priority="16" operator="equal">
      <formula>#REF!</formula>
    </cfRule>
    <cfRule type="cellIs" dxfId="128" priority="17" operator="equal">
      <formula>#REF!</formula>
    </cfRule>
  </conditionalFormatting>
  <conditionalFormatting sqref="AI35:AJ37">
    <cfRule type="cellIs" dxfId="127" priority="15" stopIfTrue="1" operator="equal">
      <formula>#REF!</formula>
    </cfRule>
  </conditionalFormatting>
  <conditionalFormatting sqref="AJ35:AJ37">
    <cfRule type="cellIs" dxfId="126" priority="19" stopIfTrue="1" operator="equal">
      <formula>#REF!</formula>
    </cfRule>
    <cfRule type="cellIs" dxfId="125" priority="20" stopIfTrue="1" operator="equal">
      <formula>#REF!</formula>
    </cfRule>
  </conditionalFormatting>
  <dataValidations count="9">
    <dataValidation type="list" allowBlank="1" showInputMessage="1" showErrorMessage="1" sqref="K35" xr:uid="{408C691E-A947-4B4C-BE58-973B3DFA4E33}">
      <formula1>$K$192:$K$201</formula1>
    </dataValidation>
    <dataValidation type="list" allowBlank="1" showInputMessage="1" showErrorMessage="1" sqref="K37 AI37:AJ37" xr:uid="{39A642B1-C04B-4016-B1BC-C4CFF8FA7E81}">
      <formula1>#REF!</formula1>
    </dataValidation>
    <dataValidation type="list" allowBlank="1" showInputMessage="1" showErrorMessage="1" sqref="Y37" xr:uid="{9031228E-6A05-4898-A3ED-E14D91674E3A}">
      <formula1>$R$192:$R$193</formula1>
    </dataValidation>
    <dataValidation type="list" allowBlank="1" showInputMessage="1" showErrorMessage="1" sqref="O37" xr:uid="{F68FA3A0-3EF8-4997-AFE0-C34BE62DB6B5}">
      <formula1>$O$192:$O$196</formula1>
    </dataValidation>
    <dataValidation type="list" allowBlank="1" showInputMessage="1" showErrorMessage="1" sqref="L37:N37" xr:uid="{CB040AC8-6957-47C6-BBAB-4DF853D5DAC9}">
      <formula1>$L$192:$L$196</formula1>
    </dataValidation>
    <dataValidation type="list" allowBlank="1" showInputMessage="1" showErrorMessage="1" sqref="AB37:AH37 Z37 AQ37 AY37:AZ37" xr:uid="{DB8A6FF8-0458-4656-B40B-428CCA62DA01}">
      <formula1>$AQ$192:$AQ$199</formula1>
    </dataValidation>
    <dataValidation type="list" allowBlank="1" showInputMessage="1" showErrorMessage="1" error="Recuerde que las acciones se generan bajo la medida de mitigar el riesgo" sqref="AY15:AY20" xr:uid="{82762F92-CDEE-4FA6-AA53-0F4C1131C622}">
      <formula1>$BH$36:$BH$39</formula1>
    </dataValidation>
    <dataValidation type="custom" allowBlank="1" showInputMessage="1" showErrorMessage="1" error="Recuerde que las acciones se generan bajo la medida de mitigar el riesgo" sqref="AP15 AP31 AP29 AP27 AP25 AP23 AP17 AP19 AP21" xr:uid="{CDD03ADF-1C60-48D1-BA7E-193749E76C57}"/>
    <dataValidation type="list" allowBlank="1" showInputMessage="1" showErrorMessage="1" sqref="R15:R32" xr:uid="{FF6BA293-5A59-4796-AEDE-FC47CBA82030}">
      <formula1>Criterios_Impacto</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364D01BD-2838-4A6F-AD0C-568881239CC1}">
          <x14:formula1>
            <xm:f>'Opciones Tratamiento'!$B$9:$B$10</xm:f>
          </x14:formula1>
          <xm:sqref>BB21:BB32</xm:sqref>
        </x14:dataValidation>
        <x14:dataValidation type="list" allowBlank="1" showInputMessage="1" showErrorMessage="1" xr:uid="{DDC43149-4C4D-47B0-B668-03BACAFE245A}">
          <x14:formula1>
            <xm:f>'Opciones Tratamiento'!$B$13:$B$19</xm:f>
          </x14:formula1>
          <xm:sqref>L15 L17:L32</xm:sqref>
        </x14:dataValidation>
        <x14:dataValidation type="list" allowBlank="1" showInputMessage="1" showErrorMessage="1" xr:uid="{E012B887-2472-4459-AE52-63DE8627A4CE}">
          <x14:formula1>
            <xm:f>'Opciones Tratamiento'!$B$2:$B$5</xm:f>
          </x14:formula1>
          <xm:sqref>AM27 AM25 AM23 AM15 AM19 AM17 AM31 AM29 AM21</xm:sqref>
        </x14:dataValidation>
        <x14:dataValidation type="custom" allowBlank="1" showInputMessage="1" showErrorMessage="1" error="Recuerde que las acciones se generan bajo la medida de mitigar el riesgo" xr:uid="{01478FEC-95D9-4F9E-B29D-A2AA1B7BF8E6}">
          <x14:formula1>
            <xm:f>IF(OR(AM21='Opciones Tratamiento'!$B$2,AM21='Opciones Tratamiento'!$B$3,AM21='Opciones Tratamiento'!$B$4),ISBLANK(AM21),ISTEXT(AM21))</xm:f>
          </x14:formula1>
          <xm:sqref>AY21:AY32</xm:sqref>
        </x14:dataValidation>
        <x14:dataValidation type="list" allowBlank="1" showInputMessage="1" showErrorMessage="1" xr:uid="{6CA67B73-B6D4-42D4-A6D0-84C46E695EA9}">
          <x14:formula1>
            <xm:f>Listas!$B$2:$B$7</xm:f>
          </x14:formula1>
          <xm:sqref>H15 H17:H32</xm:sqref>
        </x14:dataValidation>
        <x14:dataValidation type="list" allowBlank="1" showInputMessage="1" showErrorMessage="1" xr:uid="{249D73BB-A511-4CAA-B899-DDA0ECB15505}">
          <x14:formula1>
            <xm:f>Listas!$C$2:$C$6</xm:f>
          </x14:formula1>
          <xm:sqref>M17:M32 M15</xm:sqref>
        </x14:dataValidation>
        <x14:dataValidation type="list" allowBlank="1" showInputMessage="1" showErrorMessage="1" xr:uid="{0B8C5EC2-A48B-4027-8C65-16247C0B39B6}">
          <x14:formula1>
            <xm:f>Listas!$D$2:$D$5</xm:f>
          </x14:formula1>
          <xm:sqref>N17:N32 N15</xm:sqref>
        </x14:dataValidation>
        <x14:dataValidation type="list" allowBlank="1" showInputMessage="1" showErrorMessage="1" xr:uid="{639293B1-C8B7-42F8-B0D3-E13E2631DB11}">
          <x14:formula1>
            <xm:f>Formulas!$B$3:$B$18</xm:f>
          </x14:formula1>
          <xm:sqref>E17:E32</xm:sqref>
        </x14:dataValidation>
        <x14:dataValidation type="list" allowBlank="1" showInputMessage="1" showErrorMessage="1" xr:uid="{3DABCBE8-1CD2-4D35-96EB-A6EE798407CE}">
          <x14:formula1>
            <xm:f>Formulas!$E$3:$E$23</xm:f>
          </x14:formula1>
          <xm:sqref>G17:G32</xm:sqref>
        </x14:dataValidation>
        <x14:dataValidation type="custom" allowBlank="1" showInputMessage="1" showErrorMessage="1" error="Recuerde que las acciones se generan bajo la medida de mitigar el riesgo" xr:uid="{0822A178-6867-4BC5-9CE2-958A9D04389C}">
          <x14:formula1>
            <xm:f>IF(OR(AQ17='Opciones Tratamiento'!$B$2,AQ17='Opciones Tratamiento'!$B$3,AQ17='Opciones Tratamiento'!$B$4),ISBLANK(AQ17),ISTEXT(AQ17))</xm:f>
          </x14:formula1>
          <xm:sqref>AV17:AX32</xm:sqref>
        </x14:dataValidation>
        <x14:dataValidation type="custom" allowBlank="1" showInputMessage="1" showErrorMessage="1" error="Recuerde que las acciones se generan bajo la medida de mitigar el riesgo" xr:uid="{3B3282AD-8AAB-4172-81D4-4723DA6440EC}">
          <x14:formula1>
            <xm:f>IF(OR(AM16='Opciones Tratamiento'!$B$2,AM16='Opciones Tratamiento'!$B$3,AM16='Opciones Tratamiento'!$B$4),ISBLANK(AM16),ISTEXT(AM16))</xm:f>
          </x14:formula1>
          <xm:sqref>AU16 AU18 AU20 AU22 AU24 AU26 AU28 AU30 AU32 AR17 AR31 AR29 AR27 AR25 AR23 AU15:AX15 AR19 AR15:AS15 AR21</xm:sqref>
        </x14:dataValidation>
        <x14:dataValidation type="list" allowBlank="1" showInputMessage="1" showErrorMessage="1" xr:uid="{3184CEB9-307A-4941-8783-811E15E82246}">
          <x14:formula1>
            <xm:f>'Tabla Valoración controles'!$D$4:$D$6</xm:f>
          </x14:formula1>
          <xm:sqref>Z15:Z32</xm:sqref>
        </x14:dataValidation>
        <x14:dataValidation type="list" allowBlank="1" showInputMessage="1" showErrorMessage="1" xr:uid="{CB1D46A3-D42A-4715-B5F2-E74EC9B922FD}">
          <x14:formula1>
            <xm:f>'Tabla Valoración controles'!$D$7:$D$8</xm:f>
          </x14:formula1>
          <xm:sqref>AA15:AA32</xm:sqref>
        </x14:dataValidation>
        <x14:dataValidation type="list" allowBlank="1" showInputMessage="1" showErrorMessage="1" xr:uid="{6B01B280-5073-4EC5-A313-ADD1B14A1AE3}">
          <x14:formula1>
            <xm:f>'Tabla Valoración controles'!$D$9:$D$10</xm:f>
          </x14:formula1>
          <xm:sqref>AC15:AC32</xm:sqref>
        </x14:dataValidation>
        <x14:dataValidation type="list" allowBlank="1" showInputMessage="1" showErrorMessage="1" xr:uid="{D338F724-66DD-4764-AEF2-CBF09314BF2B}">
          <x14:formula1>
            <xm:f>'Tabla Valoración controles'!$D$11:$D$12</xm:f>
          </x14:formula1>
          <xm:sqref>AD15:AD32</xm:sqref>
        </x14:dataValidation>
        <x14:dataValidation type="list" allowBlank="1" showInputMessage="1" showErrorMessage="1" xr:uid="{FB52A918-2871-4987-B7C9-0AE85A06004B}">
          <x14:formula1>
            <xm:f>'Tabla Valoración controles'!$D$13:$D$14</xm:f>
          </x14:formula1>
          <xm:sqref>AE15:AE32</xm:sqref>
        </x14:dataValidation>
        <x14:dataValidation type="custom" allowBlank="1" showInputMessage="1" showErrorMessage="1" error="Recuerde que las acciones se generan bajo la medida de mitigar el riesgo" xr:uid="{26D01BA2-59B4-464B-AB76-30529392A755}">
          <x14:formula1>
            <xm:f>IF(OR(#REF!='Opciones Tratamiento'!$B$2,#REF!='Opciones Tratamiento'!$B$3,#REF!='Opciones Tratamiento'!$B$4),ISBLANK(#REF!),ISTEXT(#REF!))</xm:f>
          </x14:formula1>
          <xm:sqref>BD15:BD32 BC15</xm:sqref>
        </x14:dataValidation>
        <x14:dataValidation type="custom" allowBlank="1" showInputMessage="1" showErrorMessage="1" error="Recuerde que las acciones se generan bajo la medida de mitigar el riesgo" xr:uid="{EE7BB833-9764-41FF-B007-3926648232E1}">
          <x14:formula1>
            <xm:f>IF(OR(AQ21='Opciones Tratamiento'!$B$2,AQ21='Opciones Tratamiento'!$B$3,AQ21='Opciones Tratamiento'!$B$4),ISBLANK(AQ21),ISTEXT(AQ21))</xm:f>
          </x14:formula1>
          <xm:sqref>BA21:BA32</xm:sqref>
        </x14:dataValidation>
        <x14:dataValidation type="list" allowBlank="1" showInputMessage="1" showErrorMessage="1" xr:uid="{AB1C5DE4-2203-4588-B629-0786D5138E5A}">
          <x14:formula1>
            <xm:f>Formulas!$B$3:$B$6</xm:f>
          </x14:formula1>
          <xm:sqref>E15:E16</xm:sqref>
        </x14:dataValidation>
        <x14:dataValidation type="list" allowBlank="1" showInputMessage="1" showErrorMessage="1" xr:uid="{5A455F28-5F2F-4215-8B34-E64C7C7848E5}">
          <x14:formula1>
            <xm:f>Formulas!$D$3:$D$6</xm:f>
          </x14:formula1>
          <xm:sqref>F15:F32</xm:sqref>
        </x14:dataValidation>
        <x14:dataValidation type="list" allowBlank="1" showInputMessage="1" showErrorMessage="1" xr:uid="{D1A28E82-EAA3-4F72-B29A-B3F8D1BA5B31}">
          <x14:formula1>
            <xm:f>Formulas!$E$3:$E$5</xm:f>
          </x14:formula1>
          <xm:sqref>G15:G16</xm:sqref>
        </x14:dataValidation>
        <x14:dataValidation type="custom" allowBlank="1" showInputMessage="1" showErrorMessage="1" error="Recuerde que las acciones se generan bajo la medida de mitigar el riesgo" xr:uid="{CB80FB53-FB6D-4A7C-BD42-99639A62552D}">
          <x14:formula1>
            <xm:f>IF(OR(AM16='Opciones Tratamiento'!$B$2,AM16='Opciones Tratamiento'!$B$3,AM16='Opciones Tratamiento'!$B$4),ISBLANK(AM16),ISTEXT(AM16))</xm:f>
          </x14:formula1>
          <xm:sqref>AQ15 AQ31 AQ29 AQ27 AQ25 AQ23 AU31 AQ19 AQ17 AU17 AU19 AU21 AU23 AU25 AU27 AU29 AQ21</xm:sqref>
        </x14:dataValidation>
        <x14:dataValidation type="list" allowBlank="1" showInputMessage="1" showErrorMessage="1" error="Recuerde que las acciones se generan bajo la medida de mitigar el riesgo" xr:uid="{25768860-97A5-4932-93B1-97F70B0EC9FE}">
          <x14:formula1>
            <xm:f>Formulas!$H$3:$H$4</xm:f>
          </x14:formula1>
          <xm:sqref>AT15:AT32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defaultColWidth="11.42578125"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M16" sqref="M16"/>
    </sheetView>
  </sheetViews>
  <sheetFormatPr defaultColWidth="11.42578125" defaultRowHeight="15"/>
  <cols>
    <col min="1" max="1" width="2.42578125" style="68" customWidth="1"/>
    <col min="2" max="2" width="33.28515625" style="68" customWidth="1"/>
    <col min="3" max="4" width="11.42578125" style="68"/>
    <col min="5" max="5" width="5.7109375" style="68" customWidth="1"/>
    <col min="6" max="6" width="16.28515625" style="68" customWidth="1"/>
    <col min="7" max="7" width="11.42578125" style="68"/>
    <col min="8" max="8" width="13.7109375" style="68" customWidth="1"/>
    <col min="9" max="9" width="14.28515625" style="68" customWidth="1"/>
    <col min="10" max="10" width="14.7109375" style="68" customWidth="1"/>
    <col min="11" max="11" width="7.42578125" style="68" customWidth="1"/>
    <col min="12" max="12" width="2.28515625" style="68" customWidth="1"/>
    <col min="13" max="16384" width="11.42578125" style="68"/>
  </cols>
  <sheetData>
    <row r="1" spans="2:11" ht="6" customHeight="1" thickBot="1"/>
    <row r="2" spans="2:11" ht="15" customHeight="1">
      <c r="B2" s="718" t="s">
        <v>363</v>
      </c>
      <c r="C2" s="721" t="s">
        <v>1</v>
      </c>
      <c r="D2" s="722"/>
      <c r="E2" s="722"/>
      <c r="F2" s="722"/>
      <c r="G2" s="722"/>
      <c r="H2" s="722"/>
      <c r="I2" s="722"/>
      <c r="J2" s="469" t="s">
        <v>364</v>
      </c>
      <c r="K2" s="404"/>
    </row>
    <row r="3" spans="2:11" ht="15" customHeight="1">
      <c r="B3" s="719"/>
      <c r="C3" s="723"/>
      <c r="D3" s="724"/>
      <c r="E3" s="724"/>
      <c r="F3" s="724"/>
      <c r="G3" s="724"/>
      <c r="H3" s="724"/>
      <c r="I3" s="724"/>
      <c r="J3" s="470" t="s">
        <v>455</v>
      </c>
      <c r="K3" s="406"/>
    </row>
    <row r="4" spans="2:11" ht="15" customHeight="1">
      <c r="B4" s="719"/>
      <c r="C4" s="723"/>
      <c r="D4" s="724"/>
      <c r="E4" s="724"/>
      <c r="F4" s="724"/>
      <c r="G4" s="724"/>
      <c r="H4" s="724"/>
      <c r="I4" s="724"/>
      <c r="J4" s="470" t="s">
        <v>365</v>
      </c>
      <c r="K4" s="406" t="s">
        <v>365</v>
      </c>
    </row>
    <row r="5" spans="2:11" ht="15" customHeight="1" thickBot="1">
      <c r="B5" s="720"/>
      <c r="C5" s="725"/>
      <c r="D5" s="726"/>
      <c r="E5" s="726"/>
      <c r="F5" s="726"/>
      <c r="G5" s="726"/>
      <c r="H5" s="726"/>
      <c r="I5" s="726"/>
      <c r="J5" s="471" t="s">
        <v>5</v>
      </c>
      <c r="K5" s="408" t="s">
        <v>5</v>
      </c>
    </row>
    <row r="6" spans="2:11" ht="15.75" thickBot="1"/>
    <row r="7" spans="2:11" customFormat="1" ht="15.75" thickBot="1">
      <c r="B7" s="712" t="s">
        <v>384</v>
      </c>
      <c r="C7" s="713"/>
      <c r="D7" s="714" t="s">
        <v>456</v>
      </c>
      <c r="E7" s="715"/>
      <c r="F7" s="714" t="s">
        <v>457</v>
      </c>
      <c r="G7" s="716"/>
      <c r="H7" s="716"/>
      <c r="I7" s="716"/>
      <c r="J7" s="716"/>
      <c r="K7" s="717"/>
    </row>
    <row r="8" spans="2:11" customFormat="1" ht="18" customHeight="1" thickBot="1">
      <c r="B8" s="681"/>
      <c r="C8" s="682"/>
      <c r="D8" s="683">
        <v>1</v>
      </c>
      <c r="E8" s="684"/>
      <c r="F8" s="685"/>
      <c r="G8" s="685"/>
      <c r="H8" s="685"/>
      <c r="I8" s="685"/>
      <c r="J8" s="685"/>
      <c r="K8" s="686"/>
    </row>
    <row r="9" spans="2:11" customFormat="1" ht="18" customHeight="1" thickBot="1">
      <c r="B9" s="681"/>
      <c r="C9" s="682"/>
      <c r="D9" s="683">
        <v>2</v>
      </c>
      <c r="E9" s="684"/>
      <c r="F9" s="685"/>
      <c r="G9" s="685"/>
      <c r="H9" s="685"/>
      <c r="I9" s="685"/>
      <c r="J9" s="685"/>
      <c r="K9" s="686"/>
    </row>
    <row r="10" spans="2:11" customFormat="1" ht="18" customHeight="1" thickBot="1">
      <c r="B10" s="681"/>
      <c r="C10" s="682"/>
      <c r="D10" s="683">
        <v>3</v>
      </c>
      <c r="E10" s="684"/>
      <c r="F10" s="685"/>
      <c r="G10" s="685"/>
      <c r="H10" s="685"/>
      <c r="I10" s="685"/>
      <c r="J10" s="685"/>
      <c r="K10" s="686"/>
    </row>
    <row r="11" spans="2:11" customFormat="1" ht="18" customHeight="1" thickBot="1">
      <c r="B11" s="681"/>
      <c r="C11" s="682"/>
      <c r="D11" s="683">
        <v>4</v>
      </c>
      <c r="E11" s="684"/>
      <c r="F11" s="685"/>
      <c r="G11" s="685"/>
      <c r="H11" s="685"/>
      <c r="I11" s="685"/>
      <c r="J11" s="685"/>
      <c r="K11" s="686"/>
    </row>
    <row r="12" spans="2:11" customFormat="1" ht="18" customHeight="1" thickBot="1">
      <c r="B12" s="681"/>
      <c r="C12" s="682"/>
      <c r="D12" s="683">
        <v>5</v>
      </c>
      <c r="E12" s="684"/>
      <c r="F12" s="685"/>
      <c r="G12" s="685"/>
      <c r="H12" s="685"/>
      <c r="I12" s="685"/>
      <c r="J12" s="685"/>
      <c r="K12" s="686"/>
    </row>
    <row r="13" spans="2:11" customFormat="1" ht="18" customHeight="1" thickBot="1">
      <c r="B13" s="681"/>
      <c r="C13" s="682"/>
      <c r="D13" s="683">
        <v>6</v>
      </c>
      <c r="E13" s="684"/>
      <c r="F13" s="685"/>
      <c r="G13" s="685"/>
      <c r="H13" s="685"/>
      <c r="I13" s="685"/>
      <c r="J13" s="685"/>
      <c r="K13" s="686"/>
    </row>
    <row r="14" spans="2:11" customFormat="1" ht="18" customHeight="1" thickBot="1">
      <c r="B14" s="681"/>
      <c r="C14" s="682"/>
      <c r="D14" s="683">
        <v>7</v>
      </c>
      <c r="E14" s="684"/>
      <c r="F14" s="685"/>
      <c r="G14" s="685"/>
      <c r="H14" s="685"/>
      <c r="I14" s="685"/>
      <c r="J14" s="685"/>
      <c r="K14" s="686"/>
    </row>
    <row r="15" spans="2:11" customFormat="1" ht="18" customHeight="1">
      <c r="B15" s="681">
        <v>45352</v>
      </c>
      <c r="C15" s="682"/>
      <c r="D15" s="683">
        <v>8</v>
      </c>
      <c r="E15" s="684"/>
      <c r="F15" s="685" t="s">
        <v>458</v>
      </c>
      <c r="G15" s="685"/>
      <c r="H15" s="685"/>
      <c r="I15" s="685"/>
      <c r="J15" s="685"/>
      <c r="K15" s="686"/>
    </row>
    <row r="16" spans="2:11" customFormat="1" ht="150.75" customHeight="1">
      <c r="B16" s="681" t="s">
        <v>459</v>
      </c>
      <c r="C16" s="682"/>
      <c r="D16" s="683">
        <v>9</v>
      </c>
      <c r="E16" s="684"/>
      <c r="F16" s="685" t="s">
        <v>460</v>
      </c>
      <c r="G16" s="685"/>
      <c r="H16" s="685"/>
      <c r="I16" s="685"/>
      <c r="J16" s="685"/>
      <c r="K16" s="686"/>
    </row>
    <row r="17" spans="2:12" customFormat="1" ht="15.75" customHeight="1">
      <c r="B17" s="699"/>
      <c r="C17" s="699"/>
      <c r="D17" s="699"/>
      <c r="E17" s="699"/>
      <c r="F17" s="699"/>
      <c r="G17" s="699"/>
      <c r="H17" s="699"/>
      <c r="I17" s="699"/>
      <c r="J17" s="699"/>
      <c r="K17" s="699"/>
    </row>
    <row r="18" spans="2:12" customFormat="1" ht="15.75" customHeight="1" thickBot="1">
      <c r="B18" s="700" t="s">
        <v>461</v>
      </c>
      <c r="C18" s="701"/>
      <c r="D18" s="701"/>
      <c r="E18" s="702"/>
      <c r="F18" s="703" t="s">
        <v>462</v>
      </c>
      <c r="G18" s="704"/>
      <c r="H18" s="705"/>
      <c r="I18" s="706" t="s">
        <v>463</v>
      </c>
      <c r="J18" s="707"/>
      <c r="K18" s="702"/>
    </row>
    <row r="19" spans="2:12" customFormat="1" ht="27" customHeight="1">
      <c r="B19" s="708"/>
      <c r="C19" s="709"/>
      <c r="D19" s="709"/>
      <c r="E19" s="709"/>
      <c r="F19" s="709"/>
      <c r="G19" s="709"/>
      <c r="H19" s="709"/>
      <c r="I19" s="710"/>
      <c r="J19" s="710"/>
      <c r="K19" s="711"/>
    </row>
    <row r="20" spans="2:12" customFormat="1" ht="15" customHeight="1">
      <c r="B20" s="688" t="s">
        <v>464</v>
      </c>
      <c r="C20" s="689"/>
      <c r="D20" s="689"/>
      <c r="E20" s="689"/>
      <c r="F20" s="690" t="s">
        <v>465</v>
      </c>
      <c r="G20" s="690"/>
      <c r="H20" s="691"/>
      <c r="I20" s="690" t="s">
        <v>465</v>
      </c>
      <c r="J20" s="690"/>
      <c r="K20" s="691"/>
    </row>
    <row r="21" spans="2:12" customFormat="1" ht="22.5" customHeight="1" thickBot="1">
      <c r="B21" s="692" t="s">
        <v>466</v>
      </c>
      <c r="C21" s="693"/>
      <c r="D21" s="693"/>
      <c r="E21" s="693"/>
      <c r="F21" s="693" t="s">
        <v>467</v>
      </c>
      <c r="G21" s="693"/>
      <c r="H21" s="694"/>
      <c r="I21" s="693" t="s">
        <v>467</v>
      </c>
      <c r="J21" s="693"/>
      <c r="K21" s="694"/>
    </row>
    <row r="22" spans="2:12" customFormat="1" ht="9" customHeight="1" thickBot="1">
      <c r="B22" s="695"/>
      <c r="C22" s="695"/>
      <c r="D22" s="695"/>
      <c r="E22" s="695"/>
      <c r="F22" s="695"/>
      <c r="G22" s="695"/>
      <c r="H22" s="695"/>
      <c r="I22" s="695"/>
      <c r="J22" s="695"/>
      <c r="K22" s="695"/>
    </row>
    <row r="23" spans="2:12" customFormat="1" ht="15.75" thickBot="1">
      <c r="B23" s="696" t="s">
        <v>80</v>
      </c>
      <c r="C23" s="697"/>
      <c r="D23" s="698"/>
      <c r="E23" s="123" t="s">
        <v>81</v>
      </c>
      <c r="F23" s="696" t="s">
        <v>82</v>
      </c>
      <c r="G23" s="698"/>
      <c r="H23" s="124" t="s">
        <v>83</v>
      </c>
      <c r="I23" s="696" t="s">
        <v>84</v>
      </c>
      <c r="J23" s="698"/>
      <c r="K23" s="125">
        <v>1</v>
      </c>
    </row>
    <row r="24" spans="2:12" ht="8.25" customHeight="1"/>
    <row r="25" spans="2:12">
      <c r="B25" s="687" t="s">
        <v>468</v>
      </c>
      <c r="C25" s="687"/>
      <c r="D25" s="687"/>
      <c r="E25" s="687"/>
      <c r="F25" s="687"/>
      <c r="G25" s="687"/>
      <c r="H25" s="687"/>
      <c r="I25" s="687"/>
      <c r="J25" s="687"/>
      <c r="K25" s="687"/>
      <c r="L25" s="687"/>
    </row>
    <row r="26" spans="2:12">
      <c r="B26" s="687" t="s">
        <v>469</v>
      </c>
      <c r="C26" s="687"/>
      <c r="D26" s="687"/>
      <c r="E26" s="687"/>
      <c r="F26" s="687"/>
      <c r="G26" s="687"/>
      <c r="H26" s="687"/>
      <c r="I26" s="687"/>
      <c r="J26" s="687"/>
      <c r="K26" s="687"/>
      <c r="L26" s="687"/>
    </row>
    <row r="27" spans="2:12" ht="9" customHeight="1"/>
  </sheetData>
  <mergeCells count="55">
    <mergeCell ref="B2:B5"/>
    <mergeCell ref="C2:I5"/>
    <mergeCell ref="J2:K2"/>
    <mergeCell ref="J3:K3"/>
    <mergeCell ref="J4:K4"/>
    <mergeCell ref="J5:K5"/>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17:K17"/>
    <mergeCell ref="B18:E18"/>
    <mergeCell ref="F18:H18"/>
    <mergeCell ref="I18:K18"/>
    <mergeCell ref="B19:E19"/>
    <mergeCell ref="F19:H19"/>
    <mergeCell ref="I19:K19"/>
    <mergeCell ref="B26:L26"/>
    <mergeCell ref="B20:E20"/>
    <mergeCell ref="F20:H20"/>
    <mergeCell ref="I20:K20"/>
    <mergeCell ref="B21:E21"/>
    <mergeCell ref="F21:H21"/>
    <mergeCell ref="I21:K21"/>
    <mergeCell ref="B22:K22"/>
    <mergeCell ref="B23:D23"/>
    <mergeCell ref="F23:G23"/>
    <mergeCell ref="I23:J23"/>
    <mergeCell ref="B25:L2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s>
  <pageMargins left="0.7" right="0.7" top="0.75" bottom="0.75" header="0.3" footer="0.3"/>
  <pageSetup paperSize="9" scale="60" orientation="portrait"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zoomScale="90" zoomScaleNormal="90" workbookViewId="0">
      <selection activeCell="K13" sqref="K13"/>
    </sheetView>
  </sheetViews>
  <sheetFormatPr defaultColWidth="11.42578125" defaultRowHeight="15"/>
  <cols>
    <col min="2" max="2" width="24.28515625" customWidth="1"/>
    <col min="3" max="3" width="70.28515625" customWidth="1"/>
    <col min="4" max="4" width="29.7109375" customWidth="1"/>
  </cols>
  <sheetData>
    <row r="1" spans="1:37" ht="23.25">
      <c r="A1" s="68"/>
      <c r="B1" s="727" t="s">
        <v>470</v>
      </c>
      <c r="C1" s="727"/>
      <c r="D1" s="727"/>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5.5">
      <c r="A3" s="68"/>
      <c r="B3" s="3"/>
      <c r="C3" s="4" t="s">
        <v>471</v>
      </c>
      <c r="D3" s="4" t="s">
        <v>367</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1">
      <c r="A4" s="68"/>
      <c r="B4" s="5" t="s">
        <v>472</v>
      </c>
      <c r="C4" s="6" t="s">
        <v>473</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1">
      <c r="A5" s="68"/>
      <c r="B5" s="8" t="s">
        <v>474</v>
      </c>
      <c r="C5" s="9" t="s">
        <v>475</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1">
      <c r="A6" s="68"/>
      <c r="B6" s="11" t="s">
        <v>476</v>
      </c>
      <c r="C6" s="9" t="s">
        <v>477</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76.5">
      <c r="A7" s="68"/>
      <c r="B7" s="12" t="s">
        <v>478</v>
      </c>
      <c r="C7" s="9" t="s">
        <v>479</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1">
      <c r="A8" s="68"/>
      <c r="B8" s="13" t="s">
        <v>480</v>
      </c>
      <c r="C8" s="9" t="s">
        <v>481</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ht="16.5">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c r="A35" s="68"/>
    </row>
    <row r="36" spans="1:31">
      <c r="A36" s="68"/>
    </row>
    <row r="37" spans="1:31">
      <c r="A37" s="68"/>
    </row>
    <row r="38" spans="1:31">
      <c r="A38" s="68"/>
    </row>
    <row r="39" spans="1:31">
      <c r="A39" s="68"/>
    </row>
    <row r="40" spans="1:31">
      <c r="A40" s="68"/>
    </row>
    <row r="41" spans="1:31">
      <c r="A41" s="68"/>
    </row>
    <row r="42" spans="1:31">
      <c r="A42" s="68"/>
    </row>
    <row r="43" spans="1:31">
      <c r="A43" s="68"/>
    </row>
    <row r="44" spans="1:31">
      <c r="A44" s="68"/>
    </row>
    <row r="45" spans="1:31">
      <c r="A45" s="68"/>
    </row>
    <row r="46" spans="1:31">
      <c r="A46" s="68"/>
    </row>
    <row r="47" spans="1:31">
      <c r="A47" s="68"/>
    </row>
    <row r="48" spans="1:31">
      <c r="A48" s="68"/>
    </row>
    <row r="49" spans="1:1">
      <c r="A49" s="68"/>
    </row>
    <row r="50" spans="1:1">
      <c r="A50" s="68"/>
    </row>
    <row r="51" spans="1:1">
      <c r="A51" s="68"/>
    </row>
    <row r="52" spans="1:1">
      <c r="A52" s="68"/>
    </row>
    <row r="53" spans="1:1">
      <c r="A53" s="68"/>
    </row>
    <row r="54" spans="1:1">
      <c r="A54" s="68"/>
    </row>
    <row r="55" spans="1:1">
      <c r="A55" s="68"/>
    </row>
  </sheetData>
  <mergeCells count="1">
    <mergeCell ref="B1:D1"/>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topLeftCell="D173" zoomScale="55" zoomScaleNormal="55" workbookViewId="0">
      <selection activeCell="G1" sqref="G1"/>
    </sheetView>
  </sheetViews>
  <sheetFormatPr defaultColWidth="11.42578125" defaultRowHeight="15"/>
  <cols>
    <col min="2" max="2" width="40.42578125" customWidth="1"/>
    <col min="3" max="3" width="74.7109375" customWidth="1"/>
    <col min="4" max="4" width="135" bestFit="1" customWidth="1"/>
    <col min="5" max="5" width="144.7109375" bestFit="1" customWidth="1"/>
    <col min="6" max="6" width="136.42578125" bestFit="1" customWidth="1"/>
  </cols>
  <sheetData>
    <row r="1" spans="1:21" ht="33.75">
      <c r="A1" s="68"/>
      <c r="B1" s="728" t="s">
        <v>482</v>
      </c>
      <c r="C1" s="728"/>
      <c r="D1" s="728"/>
      <c r="E1" s="68"/>
      <c r="F1" s="68"/>
      <c r="G1" s="68"/>
      <c r="H1" s="68"/>
      <c r="I1" s="68"/>
      <c r="J1" s="68"/>
      <c r="K1" s="68"/>
      <c r="L1" s="68"/>
      <c r="M1" s="68"/>
      <c r="N1" s="68"/>
      <c r="O1" s="68"/>
      <c r="P1" s="68"/>
      <c r="Q1" s="68"/>
      <c r="R1" s="68"/>
      <c r="S1" s="68"/>
      <c r="T1" s="68"/>
      <c r="U1" s="68"/>
    </row>
    <row r="2" spans="1:21">
      <c r="A2" s="68"/>
      <c r="B2" s="68"/>
      <c r="C2" s="68"/>
      <c r="D2" s="68"/>
      <c r="E2" s="68"/>
      <c r="F2" s="68"/>
      <c r="G2" s="68"/>
      <c r="H2" s="68"/>
      <c r="I2" s="68"/>
      <c r="J2" s="68"/>
      <c r="K2" s="68"/>
      <c r="L2" s="68"/>
      <c r="M2" s="68"/>
      <c r="N2" s="68"/>
      <c r="O2" s="68"/>
      <c r="P2" s="68"/>
      <c r="Q2" s="68"/>
      <c r="R2" s="68"/>
      <c r="S2" s="68"/>
      <c r="T2" s="68"/>
      <c r="U2" s="68"/>
    </row>
    <row r="3" spans="1:21" ht="60">
      <c r="A3" s="68"/>
      <c r="B3" s="85"/>
      <c r="C3" s="22" t="s">
        <v>483</v>
      </c>
      <c r="D3" s="22" t="s">
        <v>484</v>
      </c>
      <c r="E3" s="68"/>
      <c r="F3" s="68"/>
      <c r="G3" s="68"/>
      <c r="H3" s="68"/>
      <c r="I3" s="68"/>
      <c r="J3" s="68"/>
      <c r="K3" s="68"/>
      <c r="L3" s="68"/>
      <c r="M3" s="68"/>
      <c r="N3" s="68"/>
      <c r="O3" s="68"/>
      <c r="P3" s="68"/>
      <c r="Q3" s="68"/>
      <c r="R3" s="68"/>
      <c r="S3" s="68"/>
      <c r="T3" s="68"/>
      <c r="U3" s="68"/>
    </row>
    <row r="4" spans="1:21" ht="33.75">
      <c r="A4" s="84" t="s">
        <v>485</v>
      </c>
      <c r="B4" s="25" t="s">
        <v>486</v>
      </c>
      <c r="C4" s="30" t="s">
        <v>487</v>
      </c>
      <c r="D4" s="23" t="s">
        <v>488</v>
      </c>
      <c r="E4" s="68"/>
      <c r="F4" s="68"/>
      <c r="G4" s="68"/>
      <c r="H4" s="68"/>
      <c r="I4" s="68"/>
      <c r="J4" s="68"/>
      <c r="K4" s="68"/>
      <c r="L4" s="68"/>
      <c r="M4" s="68"/>
      <c r="N4" s="68"/>
      <c r="O4" s="68"/>
      <c r="P4" s="68"/>
      <c r="Q4" s="68"/>
      <c r="R4" s="68"/>
      <c r="S4" s="68"/>
      <c r="T4" s="68"/>
      <c r="U4" s="68"/>
    </row>
    <row r="5" spans="1:21" ht="101.25">
      <c r="A5" s="84" t="s">
        <v>200</v>
      </c>
      <c r="B5" s="26" t="s">
        <v>489</v>
      </c>
      <c r="C5" s="31" t="s">
        <v>490</v>
      </c>
      <c r="D5" s="24" t="s">
        <v>491</v>
      </c>
      <c r="E5" s="68"/>
      <c r="F5" s="68"/>
      <c r="G5" s="68"/>
      <c r="H5" s="68"/>
      <c r="I5" s="68"/>
      <c r="J5" s="68"/>
      <c r="K5" s="68"/>
      <c r="L5" s="68"/>
      <c r="M5" s="68"/>
      <c r="N5" s="68"/>
      <c r="O5" s="68"/>
      <c r="P5" s="68"/>
      <c r="Q5" s="68"/>
      <c r="R5" s="68"/>
      <c r="S5" s="68"/>
      <c r="T5" s="68"/>
      <c r="U5" s="68"/>
    </row>
    <row r="6" spans="1:21" ht="67.5">
      <c r="A6" s="84" t="s">
        <v>202</v>
      </c>
      <c r="B6" s="27" t="s">
        <v>492</v>
      </c>
      <c r="C6" s="31" t="s">
        <v>493</v>
      </c>
      <c r="D6" s="24" t="s">
        <v>494</v>
      </c>
      <c r="E6" s="68"/>
      <c r="F6" s="68"/>
      <c r="G6" s="68"/>
      <c r="H6" s="68"/>
      <c r="I6" s="68"/>
      <c r="J6" s="68"/>
      <c r="K6" s="68"/>
      <c r="L6" s="68"/>
      <c r="M6" s="68"/>
      <c r="N6" s="68"/>
      <c r="O6" s="68"/>
      <c r="P6" s="68"/>
      <c r="Q6" s="68"/>
      <c r="R6" s="68"/>
      <c r="S6" s="68"/>
      <c r="T6" s="68"/>
      <c r="U6" s="68"/>
    </row>
    <row r="7" spans="1:21" ht="101.25">
      <c r="A7" s="84" t="s">
        <v>204</v>
      </c>
      <c r="B7" s="28" t="s">
        <v>495</v>
      </c>
      <c r="C7" s="31" t="s">
        <v>496</v>
      </c>
      <c r="D7" s="24" t="s">
        <v>497</v>
      </c>
      <c r="E7" s="68"/>
      <c r="F7" s="68"/>
      <c r="G7" s="68"/>
      <c r="H7" s="68"/>
      <c r="I7" s="68"/>
      <c r="J7" s="68"/>
      <c r="K7" s="68"/>
      <c r="L7" s="68"/>
      <c r="M7" s="68"/>
      <c r="N7" s="68"/>
      <c r="O7" s="68"/>
      <c r="P7" s="68"/>
      <c r="Q7" s="68"/>
      <c r="R7" s="68"/>
      <c r="S7" s="68"/>
      <c r="T7" s="68"/>
      <c r="U7" s="68"/>
    </row>
    <row r="8" spans="1:21" ht="67.5">
      <c r="A8" s="84" t="s">
        <v>206</v>
      </c>
      <c r="B8" s="29" t="s">
        <v>498</v>
      </c>
      <c r="C8" s="31" t="s">
        <v>499</v>
      </c>
      <c r="D8" s="24" t="s">
        <v>500</v>
      </c>
      <c r="E8" s="68"/>
      <c r="F8" s="68"/>
      <c r="G8" s="68"/>
      <c r="H8" s="68"/>
      <c r="I8" s="68"/>
      <c r="J8" s="68"/>
      <c r="K8" s="68"/>
      <c r="L8" s="68"/>
      <c r="M8" s="68"/>
      <c r="N8" s="68"/>
      <c r="O8" s="68"/>
      <c r="P8" s="68"/>
      <c r="Q8" s="68"/>
      <c r="R8" s="68"/>
      <c r="S8" s="68"/>
      <c r="T8" s="68"/>
      <c r="U8" s="68"/>
    </row>
    <row r="9" spans="1:21" ht="20.25">
      <c r="A9" s="84"/>
      <c r="B9" s="84"/>
      <c r="C9" s="86"/>
      <c r="D9" s="86"/>
      <c r="E9" s="68"/>
      <c r="F9" s="68"/>
      <c r="G9" s="68"/>
      <c r="H9" s="68"/>
      <c r="I9" s="68"/>
      <c r="J9" s="68"/>
      <c r="K9" s="68"/>
      <c r="L9" s="68"/>
      <c r="M9" s="68"/>
      <c r="N9" s="68"/>
      <c r="O9" s="68"/>
      <c r="P9" s="68"/>
      <c r="Q9" s="68"/>
      <c r="R9" s="68"/>
      <c r="S9" s="68"/>
      <c r="T9" s="68"/>
      <c r="U9" s="68"/>
    </row>
    <row r="10" spans="1:21" ht="16.5">
      <c r="A10" s="84"/>
      <c r="B10" s="87"/>
      <c r="C10" s="87"/>
      <c r="D10" s="87"/>
      <c r="E10" s="68"/>
      <c r="F10" s="68"/>
      <c r="G10" s="68"/>
      <c r="H10" s="68"/>
      <c r="I10" s="68"/>
      <c r="J10" s="68"/>
      <c r="K10" s="68"/>
      <c r="L10" s="68"/>
      <c r="M10" s="68"/>
      <c r="N10" s="68"/>
      <c r="O10" s="68"/>
      <c r="P10" s="68"/>
      <c r="Q10" s="68"/>
      <c r="R10" s="68"/>
      <c r="S10" s="68"/>
      <c r="T10" s="68"/>
      <c r="U10" s="68"/>
    </row>
    <row r="11" spans="1:21">
      <c r="A11" s="84"/>
      <c r="B11" s="84" t="s">
        <v>501</v>
      </c>
      <c r="C11" s="84" t="s">
        <v>197</v>
      </c>
      <c r="D11" s="84" t="s">
        <v>207</v>
      </c>
      <c r="E11" s="68"/>
      <c r="F11" s="68"/>
      <c r="G11" s="68"/>
      <c r="H11" s="68"/>
      <c r="I11" s="68"/>
      <c r="J11" s="68"/>
      <c r="K11" s="68"/>
      <c r="L11" s="68"/>
      <c r="M11" s="68"/>
      <c r="N11" s="68"/>
      <c r="O11" s="68"/>
      <c r="P11" s="68"/>
      <c r="Q11" s="68"/>
      <c r="R11" s="68"/>
      <c r="S11" s="68"/>
      <c r="T11" s="68"/>
      <c r="U11" s="68"/>
    </row>
    <row r="12" spans="1:21">
      <c r="A12" s="84"/>
      <c r="B12" s="84" t="s">
        <v>502</v>
      </c>
      <c r="C12" s="84" t="s">
        <v>199</v>
      </c>
      <c r="D12" s="84" t="s">
        <v>208</v>
      </c>
      <c r="E12" s="68"/>
      <c r="F12" s="68"/>
      <c r="G12" s="68"/>
      <c r="H12" s="68"/>
      <c r="I12" s="68"/>
      <c r="J12" s="68"/>
      <c r="K12" s="68"/>
      <c r="L12" s="68"/>
      <c r="M12" s="68"/>
      <c r="N12" s="68"/>
      <c r="O12" s="68"/>
      <c r="P12" s="68"/>
      <c r="Q12" s="68"/>
      <c r="R12" s="68"/>
      <c r="S12" s="68"/>
      <c r="T12" s="68"/>
      <c r="U12" s="68"/>
    </row>
    <row r="13" spans="1:21">
      <c r="A13" s="84"/>
      <c r="B13" s="84"/>
      <c r="C13" s="84" t="s">
        <v>201</v>
      </c>
      <c r="D13" s="84" t="s">
        <v>101</v>
      </c>
      <c r="E13" s="68"/>
      <c r="F13" s="68"/>
      <c r="G13" s="68"/>
      <c r="H13" s="68"/>
      <c r="I13" s="68"/>
      <c r="J13" s="68"/>
      <c r="K13" s="68"/>
      <c r="L13" s="68"/>
      <c r="M13" s="68"/>
      <c r="N13" s="68"/>
      <c r="O13" s="68"/>
      <c r="P13" s="68"/>
      <c r="Q13" s="68"/>
      <c r="R13" s="68"/>
      <c r="S13" s="68"/>
      <c r="T13" s="68"/>
      <c r="U13" s="68"/>
    </row>
    <row r="14" spans="1:21">
      <c r="A14" s="84"/>
      <c r="B14" s="84"/>
      <c r="C14" s="84" t="s">
        <v>203</v>
      </c>
      <c r="D14" s="84" t="s">
        <v>178</v>
      </c>
      <c r="E14" s="68"/>
      <c r="F14" s="68"/>
      <c r="G14" s="68"/>
      <c r="H14" s="68"/>
      <c r="I14" s="68"/>
      <c r="J14" s="68"/>
      <c r="K14" s="68"/>
      <c r="L14" s="68"/>
      <c r="M14" s="68"/>
      <c r="N14" s="68"/>
      <c r="O14" s="68"/>
      <c r="P14" s="68"/>
      <c r="Q14" s="68"/>
      <c r="R14" s="68"/>
      <c r="S14" s="68"/>
      <c r="T14" s="68"/>
      <c r="U14" s="68"/>
    </row>
    <row r="15" spans="1:21">
      <c r="A15" s="84"/>
      <c r="B15" s="84"/>
      <c r="C15" s="84" t="s">
        <v>205</v>
      </c>
      <c r="D15" s="84" t="s">
        <v>171</v>
      </c>
      <c r="E15" s="68"/>
      <c r="F15" s="68"/>
      <c r="G15" s="68"/>
      <c r="H15" s="68"/>
      <c r="I15" s="68"/>
      <c r="J15" s="68"/>
      <c r="K15" s="68"/>
      <c r="L15" s="68"/>
      <c r="M15" s="68"/>
      <c r="N15" s="68"/>
      <c r="O15" s="68"/>
      <c r="P15" s="68"/>
      <c r="Q15" s="68"/>
      <c r="R15" s="68"/>
      <c r="S15" s="68"/>
      <c r="T15" s="68"/>
      <c r="U15" s="68"/>
    </row>
    <row r="16" spans="1:21">
      <c r="A16" s="84"/>
      <c r="B16" s="84"/>
      <c r="C16" s="84"/>
      <c r="D16" s="84"/>
      <c r="E16" s="68"/>
      <c r="F16" s="68"/>
      <c r="G16" s="68"/>
      <c r="H16" s="68"/>
      <c r="I16" s="68"/>
      <c r="J16" s="68"/>
      <c r="K16" s="68"/>
      <c r="L16" s="68"/>
      <c r="M16" s="68"/>
      <c r="N16" s="68"/>
      <c r="O16" s="68"/>
    </row>
    <row r="17" spans="1:15">
      <c r="A17" s="84"/>
      <c r="B17" s="84"/>
      <c r="C17" s="84"/>
      <c r="D17" s="84"/>
      <c r="E17" s="68"/>
      <c r="F17" s="68"/>
      <c r="G17" s="68"/>
      <c r="H17" s="68"/>
      <c r="I17" s="68"/>
      <c r="J17" s="68"/>
      <c r="K17" s="68"/>
      <c r="L17" s="68"/>
      <c r="M17" s="68"/>
      <c r="N17" s="68"/>
      <c r="O17" s="68"/>
    </row>
    <row r="18" spans="1:15">
      <c r="A18" s="84"/>
      <c r="B18" s="88"/>
      <c r="C18" s="88"/>
      <c r="D18" s="88"/>
      <c r="E18" s="68"/>
      <c r="F18" s="68"/>
      <c r="G18" s="68"/>
      <c r="H18" s="68"/>
      <c r="I18" s="68"/>
      <c r="J18" s="68"/>
      <c r="K18" s="68"/>
      <c r="L18" s="68"/>
      <c r="M18" s="68"/>
      <c r="N18" s="68"/>
      <c r="O18" s="68"/>
    </row>
    <row r="19" spans="1:15">
      <c r="A19" s="84"/>
      <c r="B19" s="88"/>
      <c r="C19" s="88"/>
      <c r="D19" s="88"/>
      <c r="E19" s="68"/>
      <c r="F19" s="68"/>
      <c r="G19" s="68"/>
      <c r="H19" s="68"/>
      <c r="I19" s="68"/>
      <c r="J19" s="68"/>
      <c r="K19" s="68"/>
      <c r="L19" s="68"/>
      <c r="M19" s="68"/>
      <c r="N19" s="68"/>
      <c r="O19" s="68"/>
    </row>
    <row r="20" spans="1:15">
      <c r="A20" s="84"/>
      <c r="B20" s="88"/>
      <c r="C20" s="88"/>
      <c r="D20" s="88"/>
      <c r="E20" s="68"/>
      <c r="F20" s="68"/>
      <c r="G20" s="68"/>
      <c r="H20" s="68"/>
      <c r="I20" s="68"/>
      <c r="J20" s="68"/>
      <c r="K20" s="68"/>
      <c r="L20" s="68"/>
      <c r="M20" s="68"/>
      <c r="N20" s="68"/>
      <c r="O20" s="68"/>
    </row>
    <row r="21" spans="1:15">
      <c r="A21" s="84"/>
      <c r="B21" s="88"/>
      <c r="C21" s="88"/>
      <c r="D21" s="88"/>
      <c r="E21" s="68"/>
      <c r="F21" s="68"/>
      <c r="G21" s="68"/>
      <c r="H21" s="68"/>
      <c r="I21" s="68"/>
      <c r="J21" s="68"/>
      <c r="K21" s="68"/>
      <c r="L21" s="68"/>
      <c r="M21" s="68"/>
      <c r="N21" s="68"/>
      <c r="O21" s="68"/>
    </row>
    <row r="22" spans="1:15" ht="20.25">
      <c r="A22" s="84"/>
      <c r="B22" s="84"/>
      <c r="C22" s="86"/>
      <c r="D22" s="86"/>
      <c r="E22" s="68"/>
      <c r="F22" s="68"/>
      <c r="G22" s="68"/>
      <c r="H22" s="68"/>
      <c r="I22" s="68"/>
      <c r="J22" s="68"/>
      <c r="K22" s="68"/>
      <c r="L22" s="68"/>
      <c r="M22" s="68"/>
      <c r="N22" s="68"/>
      <c r="O22" s="68"/>
    </row>
    <row r="23" spans="1:15" ht="20.25">
      <c r="A23" s="84"/>
      <c r="B23" s="84"/>
      <c r="C23" s="86"/>
      <c r="D23" s="86"/>
      <c r="E23" s="68"/>
      <c r="F23" s="68"/>
      <c r="G23" s="68"/>
      <c r="H23" s="68"/>
      <c r="I23" s="68"/>
      <c r="J23" s="68"/>
      <c r="K23" s="68"/>
      <c r="L23" s="68"/>
      <c r="M23" s="68"/>
      <c r="N23" s="68"/>
      <c r="O23" s="68"/>
    </row>
    <row r="24" spans="1:15" ht="20.25">
      <c r="A24" s="84"/>
      <c r="B24" s="84"/>
      <c r="C24" s="86"/>
      <c r="D24" s="86"/>
      <c r="E24" s="68"/>
      <c r="F24" s="68"/>
      <c r="G24" s="68"/>
      <c r="H24" s="68"/>
      <c r="I24" s="68"/>
      <c r="J24" s="68"/>
      <c r="K24" s="68"/>
      <c r="L24" s="68"/>
      <c r="M24" s="68"/>
      <c r="N24" s="68"/>
      <c r="O24" s="68"/>
    </row>
    <row r="25" spans="1:15" ht="20.25">
      <c r="A25" s="84"/>
      <c r="B25" s="84"/>
      <c r="C25" s="86"/>
      <c r="D25" s="86"/>
      <c r="E25" s="68"/>
      <c r="F25" s="68"/>
      <c r="G25" s="68"/>
      <c r="H25" s="68"/>
      <c r="I25" s="68"/>
      <c r="J25" s="68"/>
      <c r="K25" s="68"/>
      <c r="L25" s="68"/>
      <c r="M25" s="68"/>
      <c r="N25" s="68"/>
      <c r="O25" s="68"/>
    </row>
    <row r="26" spans="1:15" ht="20.25">
      <c r="A26" s="84"/>
      <c r="B26" s="84"/>
      <c r="C26" s="86"/>
      <c r="D26" s="86"/>
      <c r="E26" s="68"/>
      <c r="F26" s="68"/>
      <c r="G26" s="68"/>
      <c r="H26" s="68"/>
      <c r="I26" s="68"/>
      <c r="J26" s="68"/>
      <c r="K26" s="68"/>
      <c r="L26" s="68"/>
      <c r="M26" s="68"/>
      <c r="N26" s="68"/>
      <c r="O26" s="68"/>
    </row>
    <row r="27" spans="1:15" ht="20.25">
      <c r="A27" s="84"/>
      <c r="B27" s="84"/>
      <c r="C27" s="86"/>
      <c r="D27" s="86"/>
      <c r="E27" s="68"/>
      <c r="F27" s="68"/>
      <c r="G27" s="68"/>
      <c r="H27" s="68"/>
      <c r="I27" s="68"/>
      <c r="J27" s="68"/>
      <c r="K27" s="68"/>
      <c r="L27" s="68"/>
      <c r="M27" s="68"/>
      <c r="N27" s="68"/>
      <c r="O27" s="68"/>
    </row>
    <row r="28" spans="1:15" ht="20.25">
      <c r="A28" s="84"/>
      <c r="B28" s="84"/>
      <c r="C28" s="86"/>
      <c r="D28" s="86"/>
      <c r="E28" s="68"/>
      <c r="F28" s="68"/>
      <c r="G28" s="68"/>
      <c r="H28" s="68"/>
      <c r="I28" s="68"/>
      <c r="J28" s="68"/>
      <c r="K28" s="68"/>
      <c r="L28" s="68"/>
      <c r="M28" s="68"/>
      <c r="N28" s="68"/>
      <c r="O28" s="68"/>
    </row>
    <row r="29" spans="1:15" ht="20.25">
      <c r="A29" s="84"/>
      <c r="B29" s="84"/>
      <c r="C29" s="86"/>
      <c r="D29" s="86"/>
      <c r="E29" s="68"/>
      <c r="F29" s="68"/>
      <c r="G29" s="68"/>
      <c r="H29" s="68"/>
      <c r="I29" s="68"/>
      <c r="J29" s="68"/>
      <c r="K29" s="68"/>
      <c r="L29" s="68"/>
      <c r="M29" s="68"/>
      <c r="N29" s="68"/>
      <c r="O29" s="68"/>
    </row>
    <row r="30" spans="1:15" ht="20.25">
      <c r="A30" s="84"/>
      <c r="B30" s="84"/>
      <c r="C30" s="86"/>
      <c r="D30" s="86"/>
      <c r="E30" s="68"/>
      <c r="F30" s="68"/>
      <c r="G30" s="68"/>
      <c r="H30" s="68"/>
      <c r="I30" s="68"/>
      <c r="J30" s="68"/>
      <c r="K30" s="68"/>
      <c r="L30" s="68"/>
      <c r="M30" s="68"/>
      <c r="N30" s="68"/>
      <c r="O30" s="68"/>
    </row>
    <row r="31" spans="1:15" ht="20.25">
      <c r="A31" s="84"/>
      <c r="B31" s="84"/>
      <c r="C31" s="86"/>
      <c r="D31" s="86"/>
      <c r="E31" s="68"/>
      <c r="F31" s="68"/>
      <c r="G31" s="68"/>
      <c r="H31" s="68"/>
      <c r="I31" s="68"/>
      <c r="J31" s="68"/>
      <c r="K31" s="68"/>
      <c r="L31" s="68"/>
      <c r="M31" s="68"/>
      <c r="N31" s="68"/>
      <c r="O31" s="68"/>
    </row>
    <row r="32" spans="1:15" ht="20.25">
      <c r="A32" s="84"/>
      <c r="B32" s="84"/>
      <c r="C32" s="86"/>
      <c r="D32" s="86"/>
      <c r="E32" s="68"/>
      <c r="F32" s="68"/>
      <c r="G32" s="68"/>
      <c r="H32" s="68"/>
      <c r="I32" s="68"/>
      <c r="J32" s="68"/>
      <c r="K32" s="68"/>
      <c r="L32" s="68"/>
      <c r="M32" s="68"/>
      <c r="N32" s="68"/>
      <c r="O32" s="68"/>
    </row>
    <row r="33" spans="1:15" ht="20.25">
      <c r="A33" s="84"/>
      <c r="B33" s="84"/>
      <c r="C33" s="86"/>
      <c r="D33" s="86"/>
      <c r="E33" s="68"/>
      <c r="F33" s="68"/>
      <c r="G33" s="68"/>
      <c r="H33" s="68"/>
      <c r="I33" s="68"/>
      <c r="J33" s="68"/>
      <c r="K33" s="68"/>
      <c r="L33" s="68"/>
      <c r="M33" s="68"/>
      <c r="N33" s="68"/>
      <c r="O33" s="68"/>
    </row>
    <row r="34" spans="1:15" ht="20.25">
      <c r="A34" s="84"/>
      <c r="B34" s="84"/>
      <c r="C34" s="86"/>
      <c r="D34" s="86"/>
      <c r="E34" s="68"/>
      <c r="F34" s="68"/>
      <c r="G34" s="68"/>
      <c r="H34" s="68"/>
      <c r="I34" s="68"/>
      <c r="J34" s="68"/>
      <c r="K34" s="68"/>
      <c r="L34" s="68"/>
      <c r="M34" s="68"/>
      <c r="N34" s="68"/>
      <c r="O34" s="68"/>
    </row>
    <row r="35" spans="1:15" ht="20.25">
      <c r="A35" s="84"/>
      <c r="B35" s="84"/>
      <c r="C35" s="86"/>
      <c r="D35" s="86"/>
      <c r="E35" s="68"/>
      <c r="F35" s="68"/>
      <c r="G35" s="68"/>
      <c r="H35" s="68"/>
      <c r="I35" s="68"/>
      <c r="J35" s="68"/>
      <c r="K35" s="68"/>
      <c r="L35" s="68"/>
      <c r="M35" s="68"/>
      <c r="N35" s="68"/>
      <c r="O35" s="68"/>
    </row>
    <row r="36" spans="1:15" ht="20.25">
      <c r="A36" s="84"/>
      <c r="B36" s="84"/>
      <c r="C36" s="86"/>
      <c r="D36" s="86"/>
      <c r="E36" s="68"/>
      <c r="F36" s="68"/>
      <c r="G36" s="68"/>
      <c r="H36" s="68"/>
      <c r="I36" s="68"/>
      <c r="J36" s="68"/>
      <c r="K36" s="68"/>
      <c r="L36" s="68"/>
      <c r="M36" s="68"/>
      <c r="N36" s="68"/>
      <c r="O36" s="68"/>
    </row>
    <row r="37" spans="1:15" ht="20.25">
      <c r="A37" s="84"/>
      <c r="B37" s="84"/>
      <c r="C37" s="86"/>
      <c r="D37" s="86"/>
      <c r="E37" s="68"/>
      <c r="F37" s="68"/>
      <c r="G37" s="68"/>
      <c r="H37" s="68"/>
      <c r="I37" s="68"/>
      <c r="J37" s="68"/>
      <c r="K37" s="68"/>
      <c r="L37" s="68"/>
      <c r="M37" s="68"/>
      <c r="N37" s="68"/>
      <c r="O37" s="68"/>
    </row>
    <row r="38" spans="1:15" ht="20.25">
      <c r="A38" s="84"/>
      <c r="B38" s="84"/>
      <c r="C38" s="86"/>
      <c r="D38" s="86"/>
      <c r="E38" s="68"/>
      <c r="F38" s="68"/>
      <c r="G38" s="68"/>
      <c r="H38" s="68"/>
      <c r="I38" s="68"/>
      <c r="J38" s="68"/>
      <c r="K38" s="68"/>
      <c r="L38" s="68"/>
      <c r="M38" s="68"/>
      <c r="N38" s="68"/>
      <c r="O38" s="68"/>
    </row>
    <row r="39" spans="1:15" ht="20.25">
      <c r="A39" s="84"/>
      <c r="B39" s="84"/>
      <c r="C39" s="86"/>
      <c r="D39" s="86"/>
      <c r="E39" s="68"/>
      <c r="F39" s="68"/>
      <c r="G39" s="68"/>
      <c r="H39" s="68"/>
      <c r="I39" s="68"/>
      <c r="J39" s="68"/>
      <c r="K39" s="68"/>
      <c r="L39" s="68"/>
      <c r="M39" s="68"/>
      <c r="N39" s="68"/>
      <c r="O39" s="68"/>
    </row>
    <row r="40" spans="1:15" ht="20.25">
      <c r="A40" s="84"/>
      <c r="B40" s="84"/>
      <c r="C40" s="86"/>
      <c r="D40" s="86"/>
      <c r="E40" s="68"/>
      <c r="F40" s="68"/>
      <c r="G40" s="68"/>
      <c r="H40" s="68"/>
      <c r="I40" s="68"/>
      <c r="J40" s="68"/>
      <c r="K40" s="68"/>
      <c r="L40" s="68"/>
      <c r="M40" s="68"/>
      <c r="N40" s="68"/>
      <c r="O40" s="68"/>
    </row>
    <row r="41" spans="1:15" ht="20.25">
      <c r="A41" s="84"/>
      <c r="B41" s="84"/>
      <c r="C41" s="86"/>
      <c r="D41" s="86"/>
      <c r="E41" s="68"/>
      <c r="F41" s="68"/>
      <c r="G41" s="68"/>
      <c r="H41" s="68"/>
      <c r="I41" s="68"/>
      <c r="J41" s="68"/>
      <c r="K41" s="68"/>
      <c r="L41" s="68"/>
      <c r="M41" s="68"/>
      <c r="N41" s="68"/>
      <c r="O41" s="68"/>
    </row>
    <row r="42" spans="1:15" ht="20.25">
      <c r="A42" s="84"/>
      <c r="B42" s="84"/>
      <c r="C42" s="86"/>
      <c r="D42" s="86"/>
      <c r="E42" s="68"/>
      <c r="F42" s="68"/>
      <c r="G42" s="68"/>
      <c r="H42" s="68"/>
      <c r="I42" s="68"/>
      <c r="J42" s="68"/>
      <c r="K42" s="68"/>
      <c r="L42" s="68"/>
      <c r="M42" s="68"/>
      <c r="N42" s="68"/>
      <c r="O42" s="68"/>
    </row>
    <row r="43" spans="1:15" ht="20.25">
      <c r="A43" s="84"/>
      <c r="B43" s="84"/>
      <c r="C43" s="86"/>
      <c r="D43" s="86"/>
      <c r="E43" s="68"/>
      <c r="F43" s="68"/>
      <c r="G43" s="68"/>
      <c r="H43" s="68"/>
      <c r="I43" s="68"/>
      <c r="J43" s="68"/>
      <c r="K43" s="68"/>
      <c r="L43" s="68"/>
      <c r="M43" s="68"/>
      <c r="N43" s="68"/>
      <c r="O43" s="68"/>
    </row>
    <row r="44" spans="1:15" ht="20.25">
      <c r="A44" s="84"/>
      <c r="B44" s="84"/>
      <c r="C44" s="86"/>
      <c r="D44" s="86"/>
      <c r="E44" s="68"/>
      <c r="F44" s="68"/>
      <c r="G44" s="68"/>
      <c r="H44" s="68"/>
      <c r="I44" s="68"/>
      <c r="J44" s="68"/>
      <c r="K44" s="68"/>
      <c r="L44" s="68"/>
      <c r="M44" s="68"/>
      <c r="N44" s="68"/>
      <c r="O44" s="68"/>
    </row>
    <row r="45" spans="1:15" ht="20.25">
      <c r="A45" s="84"/>
      <c r="B45" s="84"/>
      <c r="C45" s="86"/>
      <c r="D45" s="86"/>
      <c r="E45" s="68"/>
      <c r="F45" s="68"/>
      <c r="G45" s="68"/>
      <c r="H45" s="68"/>
      <c r="I45" s="68"/>
      <c r="J45" s="68"/>
      <c r="K45" s="68"/>
      <c r="L45" s="68"/>
      <c r="M45" s="68"/>
      <c r="N45" s="68"/>
      <c r="O45" s="68"/>
    </row>
    <row r="46" spans="1:15" ht="20.25">
      <c r="A46" s="84"/>
      <c r="B46" s="84"/>
      <c r="C46" s="86"/>
      <c r="D46" s="86"/>
      <c r="E46" s="68"/>
      <c r="F46" s="68"/>
      <c r="G46" s="68"/>
      <c r="H46" s="68"/>
      <c r="I46" s="68"/>
      <c r="J46" s="68"/>
      <c r="K46" s="68"/>
      <c r="L46" s="68"/>
      <c r="M46" s="68"/>
      <c r="N46" s="68"/>
      <c r="O46" s="68"/>
    </row>
    <row r="47" spans="1:15" ht="20.25">
      <c r="A47" s="84"/>
      <c r="B47" s="84"/>
      <c r="C47" s="86"/>
      <c r="D47" s="86"/>
      <c r="E47" s="68"/>
      <c r="F47" s="68"/>
      <c r="G47" s="68"/>
      <c r="H47" s="68"/>
      <c r="I47" s="68"/>
      <c r="J47" s="68"/>
      <c r="K47" s="68"/>
      <c r="L47" s="68"/>
      <c r="M47" s="68"/>
      <c r="N47" s="68"/>
      <c r="O47" s="68"/>
    </row>
    <row r="48" spans="1:15" ht="20.25">
      <c r="A48" s="84"/>
      <c r="B48" s="84"/>
      <c r="C48" s="86"/>
      <c r="D48" s="86"/>
      <c r="E48" s="68"/>
      <c r="F48" s="68"/>
      <c r="G48" s="68"/>
      <c r="H48" s="68"/>
      <c r="I48" s="68"/>
      <c r="J48" s="68"/>
      <c r="K48" s="68"/>
      <c r="L48" s="68"/>
      <c r="M48" s="68"/>
      <c r="N48" s="68"/>
      <c r="O48" s="68"/>
    </row>
    <row r="49" spans="1:15" ht="20.25">
      <c r="A49" s="84"/>
      <c r="B49" s="84"/>
      <c r="C49" s="86"/>
      <c r="D49" s="86"/>
      <c r="E49" s="68"/>
      <c r="F49" s="68"/>
      <c r="G49" s="68"/>
      <c r="H49" s="68"/>
      <c r="I49" s="68"/>
      <c r="J49" s="68"/>
      <c r="K49" s="68"/>
      <c r="L49" s="68"/>
      <c r="M49" s="68"/>
      <c r="N49" s="68"/>
      <c r="O49" s="68"/>
    </row>
    <row r="50" spans="1:15" ht="20.25">
      <c r="A50" s="84"/>
      <c r="B50" s="84"/>
      <c r="C50" s="86"/>
      <c r="D50" s="86"/>
      <c r="E50" s="68"/>
      <c r="F50" s="68"/>
      <c r="G50" s="68"/>
      <c r="H50" s="68"/>
      <c r="I50" s="68"/>
      <c r="J50" s="68"/>
      <c r="K50" s="68"/>
      <c r="L50" s="68"/>
      <c r="M50" s="68"/>
      <c r="N50" s="68"/>
      <c r="O50" s="68"/>
    </row>
    <row r="51" spans="1:15" ht="20.25">
      <c r="A51" s="84"/>
      <c r="B51" s="84"/>
      <c r="C51" s="86"/>
      <c r="D51" s="86"/>
      <c r="E51" s="68"/>
      <c r="F51" s="68"/>
      <c r="G51" s="68"/>
      <c r="H51" s="68"/>
      <c r="I51" s="68"/>
      <c r="J51" s="68"/>
      <c r="K51" s="68"/>
      <c r="L51" s="68"/>
      <c r="M51" s="68"/>
      <c r="N51" s="68"/>
      <c r="O51" s="68"/>
    </row>
    <row r="52" spans="1:15" ht="20.25">
      <c r="A52" s="84"/>
      <c r="B52" s="15"/>
      <c r="C52" s="20"/>
      <c r="D52" s="20"/>
    </row>
    <row r="53" spans="1:15" ht="20.25">
      <c r="A53" s="84"/>
      <c r="B53" s="15"/>
      <c r="C53" s="20"/>
      <c r="D53" s="20"/>
    </row>
    <row r="54" spans="1:15" ht="20.25">
      <c r="A54" s="84"/>
      <c r="B54" s="15"/>
      <c r="C54" s="20"/>
      <c r="D54" s="20"/>
    </row>
    <row r="55" spans="1:15" ht="20.25">
      <c r="A55" s="84"/>
      <c r="B55" s="15"/>
      <c r="C55" s="20"/>
      <c r="D55" s="20"/>
    </row>
    <row r="56" spans="1:15" ht="20.25">
      <c r="A56" s="84"/>
      <c r="B56" s="15"/>
      <c r="C56" s="20"/>
      <c r="D56" s="20"/>
    </row>
    <row r="57" spans="1:15" ht="20.25">
      <c r="A57" s="84"/>
      <c r="B57" s="15"/>
      <c r="C57" s="20"/>
      <c r="D57" s="20"/>
    </row>
    <row r="58" spans="1:15" ht="20.25">
      <c r="A58" s="84"/>
      <c r="B58" s="15"/>
      <c r="C58" s="20"/>
      <c r="D58" s="20"/>
    </row>
    <row r="59" spans="1:15" ht="20.25">
      <c r="A59" s="84"/>
      <c r="B59" s="15"/>
      <c r="C59" s="20"/>
      <c r="D59" s="20"/>
    </row>
    <row r="60" spans="1:15" ht="20.25">
      <c r="A60" s="84"/>
      <c r="B60" s="15"/>
      <c r="C60" s="20"/>
      <c r="D60" s="20"/>
    </row>
    <row r="61" spans="1:15" ht="20.25">
      <c r="A61" s="84"/>
      <c r="B61" s="15"/>
      <c r="C61" s="20"/>
      <c r="D61" s="20"/>
    </row>
    <row r="62" spans="1:15" ht="20.25">
      <c r="A62" s="84"/>
      <c r="B62" s="15"/>
      <c r="C62" s="20"/>
      <c r="D62" s="20"/>
    </row>
    <row r="63" spans="1:15" ht="20.25">
      <c r="A63" s="84"/>
      <c r="B63" s="15"/>
      <c r="C63" s="20"/>
      <c r="D63" s="20"/>
    </row>
    <row r="64" spans="1:15" ht="20.25">
      <c r="A64" s="84"/>
      <c r="B64" s="15"/>
      <c r="C64" s="20"/>
      <c r="D64" s="20"/>
    </row>
    <row r="65" spans="1:4" ht="20.25">
      <c r="A65" s="84"/>
      <c r="B65" s="15"/>
      <c r="C65" s="20"/>
      <c r="D65" s="20"/>
    </row>
    <row r="66" spans="1:4" ht="20.25">
      <c r="A66" s="84"/>
      <c r="B66" s="15"/>
      <c r="C66" s="20"/>
      <c r="D66" s="20"/>
    </row>
    <row r="67" spans="1:4" ht="20.25">
      <c r="A67" s="84"/>
      <c r="B67" s="15"/>
      <c r="C67" s="20"/>
      <c r="D67" s="20"/>
    </row>
    <row r="68" spans="1:4" ht="20.25">
      <c r="A68" s="84"/>
      <c r="B68" s="15"/>
      <c r="C68" s="20"/>
      <c r="D68" s="20"/>
    </row>
    <row r="69" spans="1:4" ht="20.25">
      <c r="A69" s="84"/>
      <c r="B69" s="15"/>
      <c r="C69" s="20"/>
      <c r="D69" s="20"/>
    </row>
    <row r="70" spans="1:4" ht="20.25">
      <c r="A70" s="84"/>
      <c r="B70" s="15"/>
      <c r="C70" s="20"/>
      <c r="D70" s="20"/>
    </row>
    <row r="71" spans="1:4" ht="20.25">
      <c r="A71" s="84"/>
      <c r="B71" s="15"/>
      <c r="C71" s="20"/>
      <c r="D71" s="20"/>
    </row>
    <row r="72" spans="1:4" ht="20.25">
      <c r="A72" s="84"/>
      <c r="B72" s="15"/>
      <c r="C72" s="20"/>
      <c r="D72" s="20"/>
    </row>
    <row r="73" spans="1:4" ht="20.25">
      <c r="A73" s="84"/>
      <c r="B73" s="15"/>
      <c r="C73" s="20"/>
      <c r="D73" s="20"/>
    </row>
    <row r="74" spans="1:4" ht="20.25">
      <c r="A74" s="84"/>
      <c r="B74" s="15"/>
      <c r="C74" s="20"/>
      <c r="D74" s="20"/>
    </row>
    <row r="75" spans="1:4" ht="20.25">
      <c r="A75" s="84"/>
      <c r="B75" s="15"/>
      <c r="C75" s="20"/>
      <c r="D75" s="20"/>
    </row>
    <row r="76" spans="1:4" ht="20.25">
      <c r="A76" s="84"/>
      <c r="B76" s="15"/>
      <c r="C76" s="20"/>
      <c r="D76" s="20"/>
    </row>
    <row r="77" spans="1:4" ht="20.25">
      <c r="A77" s="84"/>
      <c r="B77" s="15"/>
      <c r="C77" s="20"/>
      <c r="D77" s="20"/>
    </row>
    <row r="78" spans="1:4" ht="20.25">
      <c r="A78" s="84"/>
      <c r="B78" s="15"/>
      <c r="C78" s="20"/>
      <c r="D78" s="20"/>
    </row>
    <row r="79" spans="1:4" ht="20.25">
      <c r="A79" s="84"/>
      <c r="B79" s="15"/>
      <c r="C79" s="20"/>
      <c r="D79" s="20"/>
    </row>
    <row r="80" spans="1:4" ht="20.25">
      <c r="A80" s="84"/>
      <c r="B80" s="15"/>
      <c r="C80" s="20"/>
      <c r="D80" s="20"/>
    </row>
    <row r="81" spans="1:4" ht="20.25">
      <c r="A81" s="84"/>
      <c r="B81" s="15"/>
      <c r="C81" s="20"/>
      <c r="D81" s="20"/>
    </row>
    <row r="82" spans="1:4" ht="20.25">
      <c r="A82" s="84"/>
      <c r="B82" s="15"/>
      <c r="C82" s="20"/>
      <c r="D82" s="20"/>
    </row>
    <row r="83" spans="1:4" ht="20.25">
      <c r="A83" s="84"/>
      <c r="B83" s="15"/>
      <c r="C83" s="20"/>
      <c r="D83" s="20"/>
    </row>
    <row r="84" spans="1:4" ht="20.25">
      <c r="A84" s="84"/>
      <c r="B84" s="15"/>
      <c r="C84" s="20"/>
      <c r="D84" s="20"/>
    </row>
    <row r="85" spans="1:4" ht="20.25">
      <c r="A85" s="84"/>
      <c r="B85" s="15"/>
      <c r="C85" s="20"/>
      <c r="D85" s="20"/>
    </row>
    <row r="86" spans="1:4" ht="20.25">
      <c r="A86" s="84"/>
      <c r="B86" s="15"/>
      <c r="C86" s="20"/>
      <c r="D86" s="20"/>
    </row>
    <row r="87" spans="1:4" ht="20.25">
      <c r="A87" s="84"/>
      <c r="B87" s="15"/>
      <c r="C87" s="20"/>
      <c r="D87" s="20"/>
    </row>
    <row r="88" spans="1:4" ht="20.25">
      <c r="A88" s="84"/>
      <c r="B88" s="15"/>
      <c r="C88" s="20"/>
      <c r="D88" s="20"/>
    </row>
    <row r="89" spans="1:4" ht="20.25">
      <c r="A89" s="84"/>
      <c r="B89" s="15"/>
      <c r="C89" s="20"/>
      <c r="D89" s="20"/>
    </row>
    <row r="90" spans="1:4" ht="20.25">
      <c r="A90" s="84"/>
      <c r="B90" s="15"/>
      <c r="C90" s="20"/>
      <c r="D90" s="20"/>
    </row>
    <row r="91" spans="1:4" ht="20.25">
      <c r="A91" s="84"/>
      <c r="B91" s="15"/>
      <c r="C91" s="20"/>
      <c r="D91" s="20"/>
    </row>
    <row r="92" spans="1:4" ht="20.25">
      <c r="A92" s="84"/>
      <c r="B92" s="15"/>
      <c r="C92" s="20"/>
      <c r="D92" s="20"/>
    </row>
    <row r="93" spans="1:4" ht="20.25">
      <c r="A93" s="84"/>
      <c r="B93" s="15"/>
      <c r="C93" s="20"/>
      <c r="D93" s="20"/>
    </row>
    <row r="94" spans="1:4" ht="20.25">
      <c r="A94" s="84"/>
      <c r="B94" s="15"/>
      <c r="C94" s="20"/>
      <c r="D94" s="20"/>
    </row>
    <row r="95" spans="1:4" ht="20.25">
      <c r="A95" s="84"/>
      <c r="B95" s="15"/>
      <c r="C95" s="20"/>
      <c r="D95" s="20"/>
    </row>
    <row r="96" spans="1:4" ht="20.25">
      <c r="A96" s="84"/>
      <c r="B96" s="15"/>
      <c r="C96" s="20"/>
      <c r="D96" s="20"/>
    </row>
    <row r="97" spans="1:4" ht="20.25">
      <c r="A97" s="84"/>
      <c r="B97" s="15"/>
      <c r="C97" s="20"/>
      <c r="D97" s="20"/>
    </row>
    <row r="98" spans="1:4" ht="20.25">
      <c r="A98" s="84"/>
      <c r="B98" s="15"/>
      <c r="C98" s="20"/>
      <c r="D98" s="20"/>
    </row>
    <row r="99" spans="1:4" ht="20.25">
      <c r="A99" s="84"/>
      <c r="B99" s="15"/>
      <c r="C99" s="20"/>
      <c r="D99" s="20"/>
    </row>
    <row r="100" spans="1:4" ht="20.25">
      <c r="A100" s="84"/>
      <c r="B100" s="15"/>
      <c r="C100" s="20"/>
      <c r="D100" s="20"/>
    </row>
    <row r="101" spans="1:4" ht="20.25">
      <c r="A101" s="84"/>
      <c r="B101" s="15"/>
      <c r="C101" s="20"/>
      <c r="D101" s="20"/>
    </row>
    <row r="102" spans="1:4" ht="20.25">
      <c r="A102" s="84"/>
      <c r="B102" s="15"/>
      <c r="C102" s="20"/>
      <c r="D102" s="20"/>
    </row>
    <row r="103" spans="1:4" ht="20.25">
      <c r="A103" s="84"/>
      <c r="B103" s="15"/>
      <c r="C103" s="20"/>
      <c r="D103" s="20"/>
    </row>
    <row r="104" spans="1:4" ht="20.25">
      <c r="A104" s="84"/>
      <c r="B104" s="15"/>
      <c r="C104" s="20"/>
      <c r="D104" s="20"/>
    </row>
    <row r="105" spans="1:4" ht="20.25">
      <c r="A105" s="84"/>
      <c r="B105" s="15"/>
      <c r="C105" s="20"/>
      <c r="D105" s="20"/>
    </row>
    <row r="106" spans="1:4" ht="20.25">
      <c r="A106" s="84"/>
      <c r="B106" s="15"/>
      <c r="C106" s="20"/>
      <c r="D106" s="20"/>
    </row>
    <row r="107" spans="1:4" ht="20.25">
      <c r="A107" s="84"/>
      <c r="B107" s="15"/>
      <c r="C107" s="20"/>
      <c r="D107" s="20"/>
    </row>
    <row r="108" spans="1:4" ht="20.25">
      <c r="A108" s="84"/>
      <c r="B108" s="15"/>
      <c r="C108" s="20"/>
      <c r="D108" s="20"/>
    </row>
    <row r="109" spans="1:4" ht="20.25">
      <c r="A109" s="84"/>
      <c r="B109" s="15"/>
      <c r="C109" s="20"/>
      <c r="D109" s="20"/>
    </row>
    <row r="110" spans="1:4" ht="20.25">
      <c r="A110" s="84"/>
      <c r="B110" s="15"/>
      <c r="C110" s="20"/>
      <c r="D110" s="20"/>
    </row>
    <row r="111" spans="1:4" ht="20.25">
      <c r="A111" s="84"/>
      <c r="B111" s="15"/>
      <c r="C111" s="20"/>
      <c r="D111" s="20"/>
    </row>
    <row r="112" spans="1:4" ht="20.25">
      <c r="A112" s="84"/>
      <c r="B112" s="15"/>
      <c r="C112" s="20"/>
      <c r="D112" s="20"/>
    </row>
    <row r="113" spans="1:4" ht="20.25">
      <c r="A113" s="84"/>
      <c r="B113" s="15"/>
      <c r="C113" s="20"/>
      <c r="D113" s="20"/>
    </row>
    <row r="114" spans="1:4" ht="20.25">
      <c r="A114" s="84"/>
      <c r="B114" s="15"/>
      <c r="C114" s="20"/>
      <c r="D114" s="20"/>
    </row>
    <row r="115" spans="1:4" ht="20.25">
      <c r="A115" s="84"/>
      <c r="B115" s="15"/>
      <c r="C115" s="20"/>
      <c r="D115" s="20"/>
    </row>
    <row r="116" spans="1:4" ht="20.25">
      <c r="A116" s="84"/>
      <c r="B116" s="15"/>
      <c r="C116" s="20"/>
      <c r="D116" s="20"/>
    </row>
    <row r="117" spans="1:4" ht="20.25">
      <c r="A117" s="84"/>
      <c r="B117" s="15"/>
      <c r="C117" s="20"/>
      <c r="D117" s="20"/>
    </row>
    <row r="118" spans="1:4" ht="20.25">
      <c r="A118" s="84"/>
      <c r="B118" s="15"/>
      <c r="C118" s="20"/>
      <c r="D118" s="20"/>
    </row>
    <row r="119" spans="1:4" ht="20.25">
      <c r="A119" s="84"/>
      <c r="B119" s="15"/>
      <c r="C119" s="20"/>
      <c r="D119" s="20"/>
    </row>
    <row r="120" spans="1:4" ht="20.25">
      <c r="A120" s="84"/>
      <c r="B120" s="15"/>
      <c r="C120" s="20"/>
      <c r="D120" s="20"/>
    </row>
    <row r="121" spans="1:4" ht="20.25">
      <c r="A121" s="84"/>
      <c r="B121" s="15"/>
      <c r="C121" s="20"/>
      <c r="D121" s="20"/>
    </row>
    <row r="122" spans="1:4" ht="20.25">
      <c r="A122" s="84"/>
      <c r="B122" s="15"/>
      <c r="C122" s="20"/>
      <c r="D122" s="20"/>
    </row>
    <row r="123" spans="1:4" ht="20.25">
      <c r="A123" s="84"/>
      <c r="B123" s="15"/>
      <c r="C123" s="20"/>
      <c r="D123" s="20"/>
    </row>
    <row r="124" spans="1:4" ht="20.25">
      <c r="A124" s="84"/>
      <c r="B124" s="15"/>
      <c r="C124" s="20"/>
      <c r="D124" s="20"/>
    </row>
    <row r="125" spans="1:4" ht="20.25">
      <c r="A125" s="84"/>
      <c r="B125" s="15"/>
      <c r="C125" s="20"/>
      <c r="D125" s="20"/>
    </row>
    <row r="126" spans="1:4" ht="20.25">
      <c r="A126" s="84"/>
      <c r="B126" s="15"/>
      <c r="C126" s="20"/>
      <c r="D126" s="20"/>
    </row>
    <row r="127" spans="1:4" ht="20.25">
      <c r="A127" s="84"/>
      <c r="B127" s="15"/>
      <c r="C127" s="20"/>
      <c r="D127" s="20"/>
    </row>
    <row r="128" spans="1:4" ht="20.25">
      <c r="A128" s="84"/>
      <c r="B128" s="15"/>
      <c r="C128" s="20"/>
      <c r="D128" s="20"/>
    </row>
    <row r="129" spans="1:4" ht="20.25">
      <c r="A129" s="84"/>
      <c r="B129" s="15"/>
      <c r="C129" s="20"/>
      <c r="D129" s="20"/>
    </row>
    <row r="130" spans="1:4" ht="20.25">
      <c r="A130" s="84"/>
      <c r="B130" s="15"/>
      <c r="C130" s="20"/>
      <c r="D130" s="20"/>
    </row>
    <row r="131" spans="1:4" ht="20.25">
      <c r="A131" s="84"/>
      <c r="B131" s="15"/>
      <c r="C131" s="20"/>
      <c r="D131" s="20"/>
    </row>
    <row r="132" spans="1:4" ht="20.25">
      <c r="A132" s="84"/>
      <c r="B132" s="15"/>
      <c r="C132" s="20"/>
      <c r="D132" s="20"/>
    </row>
    <row r="133" spans="1:4" ht="20.25">
      <c r="A133" s="84"/>
      <c r="B133" s="15"/>
      <c r="C133" s="20"/>
      <c r="D133" s="20"/>
    </row>
    <row r="134" spans="1:4" ht="20.25">
      <c r="A134" s="84"/>
      <c r="B134" s="15"/>
      <c r="C134" s="20"/>
      <c r="D134" s="20"/>
    </row>
    <row r="135" spans="1:4" ht="20.25">
      <c r="A135" s="84"/>
      <c r="B135" s="15"/>
      <c r="C135" s="20"/>
      <c r="D135" s="20"/>
    </row>
    <row r="136" spans="1:4" ht="20.25">
      <c r="A136" s="84"/>
      <c r="B136" s="15"/>
      <c r="C136" s="20"/>
      <c r="D136" s="20"/>
    </row>
    <row r="137" spans="1:4" ht="20.25">
      <c r="A137" s="84"/>
      <c r="B137" s="15"/>
      <c r="C137" s="20"/>
      <c r="D137" s="20"/>
    </row>
    <row r="138" spans="1:4" ht="20.25">
      <c r="A138" s="84"/>
      <c r="B138" s="15"/>
      <c r="C138" s="20"/>
      <c r="D138" s="20"/>
    </row>
    <row r="139" spans="1:4" ht="20.25">
      <c r="A139" s="84"/>
      <c r="B139" s="15"/>
      <c r="C139" s="20"/>
      <c r="D139" s="20"/>
    </row>
    <row r="140" spans="1:4" ht="20.25">
      <c r="A140" s="84"/>
      <c r="B140" s="15"/>
      <c r="C140" s="20"/>
      <c r="D140" s="20"/>
    </row>
    <row r="141" spans="1:4" ht="20.25">
      <c r="A141" s="84"/>
      <c r="B141" s="15"/>
      <c r="C141" s="20"/>
      <c r="D141" s="20"/>
    </row>
    <row r="142" spans="1:4" ht="20.25">
      <c r="A142" s="84"/>
      <c r="B142" s="15"/>
      <c r="C142" s="20"/>
      <c r="D142" s="20"/>
    </row>
    <row r="143" spans="1:4" ht="20.25">
      <c r="A143" s="84"/>
      <c r="B143" s="15"/>
      <c r="C143" s="20"/>
      <c r="D143" s="20"/>
    </row>
    <row r="144" spans="1:4" ht="20.25">
      <c r="A144" s="84"/>
      <c r="B144" s="15"/>
      <c r="C144" s="20"/>
      <c r="D144" s="20"/>
    </row>
    <row r="145" spans="1:4" ht="20.25">
      <c r="A145" s="84"/>
      <c r="B145" s="15"/>
      <c r="C145" s="20"/>
      <c r="D145" s="20"/>
    </row>
    <row r="146" spans="1:4" ht="20.25">
      <c r="A146" s="84"/>
      <c r="B146" s="15"/>
      <c r="C146" s="20"/>
      <c r="D146" s="20"/>
    </row>
    <row r="147" spans="1:4" ht="20.25">
      <c r="A147" s="84"/>
      <c r="B147" s="15"/>
      <c r="C147" s="20"/>
      <c r="D147" s="20"/>
    </row>
    <row r="148" spans="1:4" ht="20.25">
      <c r="A148" s="84"/>
      <c r="B148" s="15"/>
      <c r="C148" s="20"/>
      <c r="D148" s="20"/>
    </row>
    <row r="149" spans="1:4" ht="20.25">
      <c r="A149" s="84"/>
      <c r="B149" s="15"/>
      <c r="C149" s="20"/>
      <c r="D149" s="20"/>
    </row>
    <row r="150" spans="1:4" ht="20.25">
      <c r="A150" s="84"/>
      <c r="B150" s="15"/>
      <c r="C150" s="20"/>
      <c r="D150" s="20"/>
    </row>
    <row r="151" spans="1:4" ht="20.25">
      <c r="A151" s="84"/>
      <c r="B151" s="15"/>
      <c r="C151" s="20"/>
      <c r="D151" s="20"/>
    </row>
    <row r="152" spans="1:4" ht="20.25">
      <c r="A152" s="84"/>
      <c r="B152" s="15"/>
      <c r="C152" s="20"/>
      <c r="D152" s="20"/>
    </row>
    <row r="153" spans="1:4" ht="20.25">
      <c r="A153" s="84"/>
      <c r="B153" s="15"/>
      <c r="C153" s="20"/>
      <c r="D153" s="20"/>
    </row>
    <row r="154" spans="1:4" ht="20.25">
      <c r="A154" s="84"/>
      <c r="B154" s="15"/>
      <c r="C154" s="20"/>
      <c r="D154" s="20"/>
    </row>
    <row r="155" spans="1:4" ht="20.25">
      <c r="A155" s="84"/>
      <c r="B155" s="15"/>
      <c r="C155" s="20"/>
      <c r="D155" s="20"/>
    </row>
    <row r="156" spans="1:4" ht="20.25">
      <c r="A156" s="84"/>
      <c r="B156" s="15"/>
      <c r="C156" s="20"/>
      <c r="D156" s="20"/>
    </row>
    <row r="157" spans="1:4" ht="20.25">
      <c r="A157" s="84"/>
      <c r="B157" s="15"/>
      <c r="C157" s="20"/>
      <c r="D157" s="20"/>
    </row>
    <row r="158" spans="1:4" ht="20.25">
      <c r="A158" s="84"/>
      <c r="B158" s="15"/>
      <c r="C158" s="20"/>
      <c r="D158" s="20"/>
    </row>
    <row r="159" spans="1:4" ht="20.25">
      <c r="A159" s="84"/>
      <c r="B159" s="15"/>
      <c r="C159" s="20"/>
      <c r="D159" s="20"/>
    </row>
    <row r="160" spans="1:4" ht="20.25">
      <c r="A160" s="84"/>
      <c r="B160" s="15"/>
      <c r="C160" s="20"/>
      <c r="D160" s="20"/>
    </row>
    <row r="161" spans="1:4" ht="20.25">
      <c r="A161" s="84"/>
      <c r="B161" s="15"/>
      <c r="C161" s="20"/>
      <c r="D161" s="20"/>
    </row>
    <row r="162" spans="1:4" ht="20.25">
      <c r="A162" s="84"/>
      <c r="B162" s="15"/>
      <c r="C162" s="20"/>
      <c r="D162" s="20"/>
    </row>
    <row r="163" spans="1:4" ht="20.25">
      <c r="A163" s="84"/>
      <c r="B163" s="15"/>
      <c r="C163" s="20"/>
      <c r="D163" s="20"/>
    </row>
    <row r="164" spans="1:4" ht="20.25">
      <c r="A164" s="84"/>
      <c r="B164" s="15"/>
      <c r="C164" s="20"/>
      <c r="D164" s="20"/>
    </row>
    <row r="165" spans="1:4" ht="20.25">
      <c r="A165" s="84"/>
      <c r="B165" s="15"/>
      <c r="C165" s="20"/>
      <c r="D165" s="20"/>
    </row>
    <row r="166" spans="1:4" ht="20.25">
      <c r="A166" s="84"/>
      <c r="B166" s="15"/>
      <c r="C166" s="20"/>
      <c r="D166" s="20"/>
    </row>
    <row r="167" spans="1:4" ht="20.25">
      <c r="A167" s="84"/>
      <c r="B167" s="15"/>
      <c r="C167" s="20"/>
      <c r="D167" s="20"/>
    </row>
    <row r="168" spans="1:4" ht="20.25">
      <c r="A168" s="84"/>
      <c r="B168" s="15"/>
      <c r="C168" s="20"/>
      <c r="D168" s="20"/>
    </row>
    <row r="169" spans="1:4" ht="20.25">
      <c r="A169" s="84"/>
      <c r="B169" s="15"/>
      <c r="C169" s="20"/>
      <c r="D169" s="20"/>
    </row>
    <row r="170" spans="1:4" ht="20.25">
      <c r="A170" s="84"/>
      <c r="B170" s="15"/>
      <c r="C170" s="20"/>
      <c r="D170" s="20"/>
    </row>
    <row r="171" spans="1:4" ht="20.25">
      <c r="A171" s="84"/>
      <c r="B171" s="15"/>
      <c r="C171" s="20"/>
      <c r="D171" s="20"/>
    </row>
    <row r="172" spans="1:4" ht="20.25">
      <c r="A172" s="84"/>
      <c r="B172" s="15"/>
      <c r="C172" s="20"/>
      <c r="D172" s="20"/>
    </row>
    <row r="173" spans="1:4" ht="20.25">
      <c r="A173" s="84"/>
      <c r="B173" s="15"/>
      <c r="C173" s="20"/>
      <c r="D173" s="20"/>
    </row>
    <row r="174" spans="1:4" ht="20.25">
      <c r="A174" s="84"/>
      <c r="B174" s="15"/>
      <c r="C174" s="20"/>
      <c r="D174" s="20"/>
    </row>
    <row r="175" spans="1:4" ht="20.25">
      <c r="A175" s="84"/>
      <c r="B175" s="15"/>
      <c r="C175" s="20"/>
      <c r="D175" s="20"/>
    </row>
    <row r="176" spans="1:4" ht="20.25">
      <c r="A176" s="84"/>
      <c r="B176" s="15"/>
      <c r="C176" s="20"/>
      <c r="D176" s="20"/>
    </row>
    <row r="177" spans="1:4" ht="20.25">
      <c r="A177" s="84"/>
      <c r="B177" s="15"/>
      <c r="C177" s="20"/>
      <c r="D177" s="20"/>
    </row>
    <row r="178" spans="1:4" ht="20.25">
      <c r="A178" s="84"/>
      <c r="B178" s="15"/>
      <c r="C178" s="20"/>
      <c r="D178" s="20"/>
    </row>
    <row r="179" spans="1:4" ht="20.25">
      <c r="A179" s="84"/>
      <c r="B179" s="15"/>
      <c r="C179" s="20"/>
      <c r="D179" s="20"/>
    </row>
    <row r="180" spans="1:4" ht="20.25">
      <c r="A180" s="84"/>
      <c r="B180" s="15"/>
      <c r="C180" s="20"/>
      <c r="D180" s="20"/>
    </row>
    <row r="181" spans="1:4" ht="20.25">
      <c r="A181" s="84"/>
      <c r="B181" s="15"/>
      <c r="C181" s="20"/>
      <c r="D181" s="20"/>
    </row>
    <row r="182" spans="1:4" ht="20.25">
      <c r="A182" s="84"/>
      <c r="B182" s="15"/>
      <c r="C182" s="20"/>
      <c r="D182" s="20"/>
    </row>
    <row r="183" spans="1:4" ht="20.25">
      <c r="A183" s="84"/>
      <c r="B183" s="15"/>
      <c r="C183" s="20"/>
      <c r="D183" s="20"/>
    </row>
    <row r="184" spans="1:4" ht="20.25">
      <c r="A184" s="84"/>
      <c r="B184" s="15"/>
      <c r="C184" s="20"/>
      <c r="D184" s="20"/>
    </row>
    <row r="185" spans="1:4" ht="20.25">
      <c r="A185" s="84"/>
      <c r="B185" s="15"/>
      <c r="C185" s="20"/>
      <c r="D185" s="20"/>
    </row>
    <row r="186" spans="1:4" ht="20.25">
      <c r="A186" s="84"/>
      <c r="B186" s="15"/>
      <c r="C186" s="20"/>
      <c r="D186" s="20"/>
    </row>
    <row r="187" spans="1:4" ht="20.25">
      <c r="A187" s="84"/>
      <c r="B187" s="15"/>
      <c r="C187" s="20"/>
      <c r="D187" s="20"/>
    </row>
    <row r="188" spans="1:4" ht="20.25">
      <c r="A188" s="84"/>
      <c r="B188" s="15"/>
      <c r="C188" s="20"/>
      <c r="D188" s="20"/>
    </row>
    <row r="189" spans="1:4" ht="20.25">
      <c r="A189" s="84"/>
      <c r="B189" s="15"/>
      <c r="C189" s="20"/>
      <c r="D189" s="20"/>
    </row>
    <row r="190" spans="1:4" ht="20.25">
      <c r="A190" s="84"/>
      <c r="B190" s="15"/>
      <c r="C190" s="20"/>
      <c r="D190" s="20"/>
    </row>
    <row r="191" spans="1:4" ht="20.25">
      <c r="A191" s="84"/>
      <c r="B191" s="15"/>
      <c r="C191" s="20"/>
      <c r="D191" s="20"/>
    </row>
    <row r="192" spans="1:4" ht="20.25">
      <c r="A192" s="84"/>
      <c r="B192" s="15"/>
      <c r="C192" s="20"/>
      <c r="D192" s="20"/>
    </row>
    <row r="193" spans="1:4" ht="20.25">
      <c r="A193" s="84"/>
      <c r="B193" s="15"/>
      <c r="C193" s="20"/>
      <c r="D193" s="20"/>
    </row>
    <row r="194" spans="1:4" ht="20.25">
      <c r="A194" s="84"/>
      <c r="B194" s="15"/>
      <c r="C194" s="20"/>
      <c r="D194" s="20"/>
    </row>
    <row r="195" spans="1:4" ht="20.25">
      <c r="A195" s="84"/>
      <c r="B195" s="15"/>
      <c r="C195" s="20"/>
      <c r="D195" s="20"/>
    </row>
    <row r="196" spans="1:4" ht="20.25">
      <c r="A196" s="84"/>
      <c r="B196" s="15"/>
      <c r="C196" s="20"/>
      <c r="D196" s="20"/>
    </row>
    <row r="197" spans="1:4" ht="20.25">
      <c r="A197" s="84"/>
      <c r="B197" s="15"/>
      <c r="C197" s="20"/>
      <c r="D197" s="20"/>
    </row>
    <row r="198" spans="1:4" ht="20.25">
      <c r="A198" s="84"/>
      <c r="B198" s="15"/>
      <c r="C198" s="20"/>
      <c r="D198" s="20"/>
    </row>
    <row r="199" spans="1:4" ht="20.25">
      <c r="A199" s="84"/>
      <c r="B199" s="15"/>
      <c r="C199" s="20"/>
      <c r="D199" s="20"/>
    </row>
    <row r="200" spans="1:4" ht="20.25">
      <c r="A200" s="84"/>
      <c r="B200" s="15"/>
      <c r="C200" s="20"/>
      <c r="D200" s="20"/>
    </row>
    <row r="201" spans="1:4" ht="20.25">
      <c r="A201" s="84"/>
      <c r="B201" s="15"/>
      <c r="C201" s="20"/>
      <c r="D201" s="20"/>
    </row>
    <row r="202" spans="1:4" ht="20.25">
      <c r="A202" s="84"/>
      <c r="B202" s="15"/>
      <c r="C202" s="20"/>
      <c r="D202" s="20"/>
    </row>
    <row r="203" spans="1:4" ht="20.25">
      <c r="A203" s="84"/>
      <c r="B203" s="15"/>
      <c r="C203" s="20"/>
      <c r="D203" s="20"/>
    </row>
    <row r="204" spans="1:4" ht="20.25">
      <c r="A204" s="84"/>
      <c r="B204" s="15"/>
      <c r="C204" s="20"/>
      <c r="D204" s="20"/>
    </row>
    <row r="205" spans="1:4" ht="20.25">
      <c r="A205" s="84"/>
      <c r="B205" s="15"/>
      <c r="C205" s="20"/>
      <c r="D205" s="20"/>
    </row>
    <row r="206" spans="1:4" ht="20.25">
      <c r="A206" s="84"/>
      <c r="B206" s="15"/>
      <c r="C206" s="20"/>
      <c r="D206" s="20"/>
    </row>
    <row r="207" spans="1:4" ht="20.25">
      <c r="A207" s="84"/>
      <c r="B207" s="15"/>
      <c r="C207" s="20"/>
      <c r="D207" s="20"/>
    </row>
    <row r="208" spans="1:4">
      <c r="A208" s="68"/>
      <c r="B208" s="15"/>
      <c r="C208" s="15"/>
      <c r="D208" s="15"/>
    </row>
    <row r="209" spans="1:8" ht="20.25">
      <c r="A209" s="68"/>
      <c r="B209" s="16" t="s">
        <v>503</v>
      </c>
      <c r="C209" s="16" t="s">
        <v>504</v>
      </c>
      <c r="D209" s="19" t="s">
        <v>503</v>
      </c>
      <c r="E209" s="19" t="s">
        <v>504</v>
      </c>
    </row>
    <row r="210" spans="1:8" ht="21">
      <c r="A210" s="68"/>
      <c r="B210" s="17" t="s">
        <v>505</v>
      </c>
      <c r="C210" s="17" t="s">
        <v>506</v>
      </c>
      <c r="D210" t="s">
        <v>505</v>
      </c>
      <c r="F210" t="str">
        <f>IF(NOT(ISBLANK(D210)),D210,IF(NOT(ISBLANK(E210)),"     "&amp;E210,FALSE))</f>
        <v>Afectación Económica o presupuestal</v>
      </c>
      <c r="G210" t="s">
        <v>505</v>
      </c>
      <c r="H210" t="str">
        <f>IF(NOT(ISERROR(MATCH(G210,_xlfn.ANCHORARRAY(B221),0))),F223&amp;"Por favor no seleccionar los criterios de impacto",G210)</f>
        <v>❌Por favor no seleccionar los criterios de impacto</v>
      </c>
    </row>
    <row r="211" spans="1:8" ht="21">
      <c r="A211" s="68"/>
      <c r="B211" s="17" t="s">
        <v>505</v>
      </c>
      <c r="C211" s="17" t="s">
        <v>490</v>
      </c>
      <c r="E211" t="s">
        <v>506</v>
      </c>
      <c r="F211" t="str">
        <f t="shared" ref="F211:F221" si="0">IF(NOT(ISBLANK(D211)),D211,IF(NOT(ISBLANK(E211)),"     "&amp;E211,FALSE))</f>
        <v xml:space="preserve">     Afectación menor a 10 SMLMV .</v>
      </c>
    </row>
    <row r="212" spans="1:8" ht="21">
      <c r="A212" s="68"/>
      <c r="B212" s="17" t="s">
        <v>505</v>
      </c>
      <c r="C212" s="17" t="s">
        <v>493</v>
      </c>
      <c r="E212" t="s">
        <v>490</v>
      </c>
      <c r="F212" t="str">
        <f t="shared" si="0"/>
        <v xml:space="preserve">     Entre 10 y 50 SMLMV </v>
      </c>
    </row>
    <row r="213" spans="1:8" ht="21">
      <c r="A213" s="68"/>
      <c r="B213" s="17" t="s">
        <v>505</v>
      </c>
      <c r="C213" s="17" t="s">
        <v>496</v>
      </c>
      <c r="E213" t="s">
        <v>493</v>
      </c>
      <c r="F213" t="str">
        <f t="shared" si="0"/>
        <v xml:space="preserve">     Entre 50 y 100 SMLMV </v>
      </c>
    </row>
    <row r="214" spans="1:8" ht="21">
      <c r="A214" s="68"/>
      <c r="B214" s="17" t="s">
        <v>505</v>
      </c>
      <c r="C214" s="17" t="s">
        <v>499</v>
      </c>
      <c r="E214" t="s">
        <v>496</v>
      </c>
      <c r="F214" t="str">
        <f t="shared" si="0"/>
        <v xml:space="preserve">     Entre 100 y 500 SMLMV </v>
      </c>
    </row>
    <row r="215" spans="1:8" ht="21">
      <c r="A215" s="68"/>
      <c r="B215" s="17" t="s">
        <v>484</v>
      </c>
      <c r="C215" s="17" t="s">
        <v>488</v>
      </c>
      <c r="E215" t="s">
        <v>499</v>
      </c>
      <c r="F215" t="str">
        <f t="shared" si="0"/>
        <v xml:space="preserve">     Mayor a 500 SMLMV </v>
      </c>
    </row>
    <row r="216" spans="1:8" ht="21">
      <c r="A216" s="68"/>
      <c r="B216" s="17" t="s">
        <v>484</v>
      </c>
      <c r="C216" s="17" t="s">
        <v>491</v>
      </c>
      <c r="D216" t="s">
        <v>484</v>
      </c>
      <c r="F216" t="str">
        <f t="shared" si="0"/>
        <v>Pérdida Reputacional</v>
      </c>
    </row>
    <row r="217" spans="1:8" ht="21">
      <c r="A217" s="68"/>
      <c r="B217" s="17" t="s">
        <v>484</v>
      </c>
      <c r="C217" s="17" t="s">
        <v>494</v>
      </c>
      <c r="E217" t="s">
        <v>488</v>
      </c>
      <c r="F217" t="str">
        <f t="shared" si="0"/>
        <v xml:space="preserve">     El riesgo afecta la imagen de alguna área de la organización</v>
      </c>
    </row>
    <row r="218" spans="1:8" ht="21">
      <c r="A218" s="68"/>
      <c r="B218" s="17" t="s">
        <v>484</v>
      </c>
      <c r="C218" s="17" t="s">
        <v>507</v>
      </c>
      <c r="E218" t="s">
        <v>491</v>
      </c>
      <c r="F218" t="str">
        <f t="shared" si="0"/>
        <v xml:space="preserve">     El riesgo afecta la imagen de la entidad internamente, de conocimiento general, nivel interno, de junta dircetiva y accionistas y/o de provedores</v>
      </c>
    </row>
    <row r="219" spans="1:8" ht="21">
      <c r="A219" s="68"/>
      <c r="B219" s="17" t="s">
        <v>484</v>
      </c>
      <c r="C219" s="17" t="s">
        <v>500</v>
      </c>
      <c r="E219" t="s">
        <v>494</v>
      </c>
      <c r="F219" t="str">
        <f t="shared" si="0"/>
        <v xml:space="preserve">     El riesgo afecta la imagen de la entidad con algunos usuarios de relevancia frente al logro de los objetivos</v>
      </c>
    </row>
    <row r="220" spans="1:8">
      <c r="A220" s="68"/>
      <c r="B220" s="18"/>
      <c r="C220" s="18"/>
      <c r="E220" t="s">
        <v>507</v>
      </c>
      <c r="F220" t="str">
        <f t="shared" si="0"/>
        <v xml:space="preserve">     El riesgo afecta la imagen de de la entidad con efecto publicitario sostenido a nivel de sector administrativo, nivel departamental o municipal</v>
      </c>
    </row>
    <row r="221" spans="1:8">
      <c r="A221" s="68"/>
      <c r="B221" s="18" t="str">
        <f t="array" ref="B221:B223">_xlfn.UNIQUE(Tabla1[[#All],[Criterios]])</f>
        <v>Criterios</v>
      </c>
      <c r="C221" s="18"/>
      <c r="E221" t="s">
        <v>500</v>
      </c>
      <c r="F221" t="str">
        <f t="shared" si="0"/>
        <v xml:space="preserve">     El riesgo afecta la imagen de la entidad a nivel nacional, con efecto publicitarios sostenible a nivel país</v>
      </c>
    </row>
    <row r="222" spans="1:8">
      <c r="A222" s="68"/>
      <c r="B222" s="18" t="str">
        <v>Afectación Económica o presupuestal</v>
      </c>
      <c r="C222" s="18"/>
    </row>
    <row r="223" spans="1:8">
      <c r="B223" s="18" t="str">
        <v>Pérdida Reputacional</v>
      </c>
      <c r="C223" s="18"/>
      <c r="F223" s="21" t="s">
        <v>508</v>
      </c>
    </row>
    <row r="224" spans="1:8">
      <c r="B224" s="14"/>
      <c r="C224" s="14"/>
      <c r="F224" s="21" t="s">
        <v>509</v>
      </c>
    </row>
    <row r="225" spans="2:4">
      <c r="B225" s="14"/>
      <c r="C225" s="14"/>
    </row>
    <row r="226" spans="2:4">
      <c r="B226" s="14"/>
      <c r="C226" s="14"/>
    </row>
    <row r="227" spans="2:4">
      <c r="B227" s="14"/>
      <c r="C227" s="14"/>
      <c r="D227" s="14"/>
    </row>
    <row r="228" spans="2:4">
      <c r="B228" s="14"/>
      <c r="C228" s="14"/>
      <c r="D228" s="14"/>
    </row>
    <row r="229" spans="2:4">
      <c r="B229" s="14"/>
      <c r="C229" s="14"/>
      <c r="D229" s="14"/>
    </row>
    <row r="230" spans="2:4">
      <c r="B230" s="14"/>
      <c r="C230" s="14"/>
      <c r="D230" s="14"/>
    </row>
    <row r="231" spans="2:4">
      <c r="B231" s="14"/>
      <c r="C231" s="14"/>
      <c r="D231" s="14"/>
    </row>
    <row r="232" spans="2:4">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topLeftCell="A10" workbookViewId="0">
      <selection activeCell="I11" sqref="I11"/>
    </sheetView>
  </sheetViews>
  <sheetFormatPr defaultColWidth="14.28515625" defaultRowHeight="12.75"/>
  <cols>
    <col min="1" max="2" width="14.28515625" style="73"/>
    <col min="3" max="3" width="17" style="73" customWidth="1"/>
    <col min="4" max="4" width="14.28515625" style="73"/>
    <col min="5" max="5" width="46" style="73" customWidth="1"/>
    <col min="6" max="16384" width="14.28515625" style="73"/>
  </cols>
  <sheetData>
    <row r="1" spans="2:6" ht="24" customHeight="1" thickBot="1">
      <c r="B1" s="729" t="s">
        <v>510</v>
      </c>
      <c r="C1" s="730"/>
      <c r="D1" s="730"/>
      <c r="E1" s="730"/>
      <c r="F1" s="731"/>
    </row>
    <row r="2" spans="2:6" ht="16.5" thickBot="1">
      <c r="B2" s="74"/>
      <c r="C2" s="74"/>
      <c r="D2" s="74"/>
      <c r="E2" s="74"/>
      <c r="F2" s="74"/>
    </row>
    <row r="3" spans="2:6" ht="16.5" thickBot="1">
      <c r="B3" s="733" t="s">
        <v>511</v>
      </c>
      <c r="C3" s="734"/>
      <c r="D3" s="734"/>
      <c r="E3" s="209" t="s">
        <v>512</v>
      </c>
      <c r="F3" s="83" t="s">
        <v>513</v>
      </c>
    </row>
    <row r="4" spans="2:6" ht="31.5">
      <c r="B4" s="735" t="s">
        <v>514</v>
      </c>
      <c r="C4" s="737" t="s">
        <v>70</v>
      </c>
      <c r="D4" s="210" t="s">
        <v>104</v>
      </c>
      <c r="E4" s="75" t="s">
        <v>515</v>
      </c>
      <c r="F4" s="76">
        <v>0.25</v>
      </c>
    </row>
    <row r="5" spans="2:6" ht="47.25">
      <c r="B5" s="736"/>
      <c r="C5" s="738"/>
      <c r="D5" s="211" t="s">
        <v>238</v>
      </c>
      <c r="E5" s="77" t="s">
        <v>516</v>
      </c>
      <c r="F5" s="78">
        <v>0.15</v>
      </c>
    </row>
    <row r="6" spans="2:6" ht="47.25">
      <c r="B6" s="736"/>
      <c r="C6" s="738"/>
      <c r="D6" s="211" t="s">
        <v>250</v>
      </c>
      <c r="E6" s="77" t="s">
        <v>517</v>
      </c>
      <c r="F6" s="78">
        <v>0.1</v>
      </c>
    </row>
    <row r="7" spans="2:6" ht="63">
      <c r="B7" s="736"/>
      <c r="C7" s="738" t="s">
        <v>71</v>
      </c>
      <c r="D7" s="211" t="s">
        <v>228</v>
      </c>
      <c r="E7" s="77" t="s">
        <v>518</v>
      </c>
      <c r="F7" s="78">
        <v>0.25</v>
      </c>
    </row>
    <row r="8" spans="2:6" ht="31.5">
      <c r="B8" s="736"/>
      <c r="C8" s="738"/>
      <c r="D8" s="211" t="s">
        <v>105</v>
      </c>
      <c r="E8" s="77" t="s">
        <v>519</v>
      </c>
      <c r="F8" s="78">
        <v>0.15</v>
      </c>
    </row>
    <row r="9" spans="2:6" ht="47.25">
      <c r="B9" s="736" t="s">
        <v>520</v>
      </c>
      <c r="C9" s="738" t="s">
        <v>23</v>
      </c>
      <c r="D9" s="211" t="s">
        <v>106</v>
      </c>
      <c r="E9" s="77" t="s">
        <v>521</v>
      </c>
      <c r="F9" s="79" t="s">
        <v>522</v>
      </c>
    </row>
    <row r="10" spans="2:6" ht="63">
      <c r="B10" s="736"/>
      <c r="C10" s="738"/>
      <c r="D10" s="211" t="s">
        <v>239</v>
      </c>
      <c r="E10" s="77" t="s">
        <v>523</v>
      </c>
      <c r="F10" s="79" t="s">
        <v>522</v>
      </c>
    </row>
    <row r="11" spans="2:6" ht="47.25">
      <c r="B11" s="736"/>
      <c r="C11" s="738" t="s">
        <v>73</v>
      </c>
      <c r="D11" s="211" t="s">
        <v>107</v>
      </c>
      <c r="E11" s="77" t="s">
        <v>524</v>
      </c>
      <c r="F11" s="79" t="s">
        <v>522</v>
      </c>
    </row>
    <row r="12" spans="2:6" ht="47.25">
      <c r="B12" s="736"/>
      <c r="C12" s="738"/>
      <c r="D12" s="211" t="s">
        <v>240</v>
      </c>
      <c r="E12" s="77" t="s">
        <v>525</v>
      </c>
      <c r="F12" s="79" t="s">
        <v>522</v>
      </c>
    </row>
    <row r="13" spans="2:6" ht="31.5">
      <c r="B13" s="736"/>
      <c r="C13" s="738" t="s">
        <v>74</v>
      </c>
      <c r="D13" s="211" t="s">
        <v>108</v>
      </c>
      <c r="E13" s="77" t="s">
        <v>526</v>
      </c>
      <c r="F13" s="79" t="s">
        <v>522</v>
      </c>
    </row>
    <row r="14" spans="2:6" ht="32.25" thickBot="1">
      <c r="B14" s="739"/>
      <c r="C14" s="740"/>
      <c r="D14" s="212" t="s">
        <v>527</v>
      </c>
      <c r="E14" s="80" t="s">
        <v>528</v>
      </c>
      <c r="F14" s="81" t="s">
        <v>522</v>
      </c>
    </row>
    <row r="15" spans="2:6" ht="49.5" customHeight="1">
      <c r="B15" s="732" t="s">
        <v>529</v>
      </c>
      <c r="C15" s="732"/>
      <c r="D15" s="732"/>
      <c r="E15" s="732"/>
      <c r="F15" s="732"/>
    </row>
    <row r="16" spans="2:6" ht="27" customHeight="1">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topLeftCell="A16" workbookViewId="0"/>
  </sheetViews>
  <sheetFormatPr defaultColWidth="8.85546875" defaultRowHeight="1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defaultColWidth="8.85546875" defaultRowHeight="1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defaultColWidth="11.42578125" defaultRowHeight="15"/>
  <sheetData>
    <row r="2" spans="2:5">
      <c r="B2" t="s">
        <v>230</v>
      </c>
      <c r="E2" t="s">
        <v>222</v>
      </c>
    </row>
    <row r="3" spans="2:5">
      <c r="B3" t="s">
        <v>242</v>
      </c>
      <c r="E3" t="s">
        <v>93</v>
      </c>
    </row>
    <row r="4" spans="2:5">
      <c r="B4" t="s">
        <v>260</v>
      </c>
      <c r="E4" t="s">
        <v>141</v>
      </c>
    </row>
    <row r="5" spans="2:5">
      <c r="B5" t="s">
        <v>75</v>
      </c>
    </row>
    <row r="8" spans="2:5">
      <c r="B8" t="s">
        <v>220</v>
      </c>
    </row>
    <row r="9" spans="2:5">
      <c r="B9" t="s">
        <v>231</v>
      </c>
    </row>
    <row r="10" spans="2:5">
      <c r="B10" t="s">
        <v>243</v>
      </c>
    </row>
    <row r="13" spans="2:5">
      <c r="B13" t="s">
        <v>225</v>
      </c>
    </row>
    <row r="14" spans="2:5">
      <c r="B14" t="s">
        <v>98</v>
      </c>
    </row>
    <row r="15" spans="2:5">
      <c r="B15" t="s">
        <v>248</v>
      </c>
    </row>
    <row r="16" spans="2:5">
      <c r="B16" t="s">
        <v>254</v>
      </c>
    </row>
    <row r="17" spans="2:2">
      <c r="B17" t="s">
        <v>258</v>
      </c>
    </row>
    <row r="18" spans="2:2">
      <c r="B18" t="s">
        <v>262</v>
      </c>
    </row>
    <row r="19" spans="2:2">
      <c r="B19" t="s">
        <v>120</v>
      </c>
    </row>
  </sheetData>
  <sortState xmlns:xlrd2="http://schemas.microsoft.com/office/spreadsheetml/2017/richdata2" ref="B2:B5">
    <sortCondition ref="B2:B5"/>
  </sortState>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defaultColWidth="11.42578125" defaultRowHeight="12.75"/>
  <cols>
    <col min="1" max="1" width="32.7109375" style="1" customWidth="1"/>
    <col min="2" max="16384" width="11.42578125" style="1"/>
  </cols>
  <sheetData>
    <row r="3" spans="1:1">
      <c r="A3" s="2" t="s">
        <v>104</v>
      </c>
    </row>
    <row r="4" spans="1:1">
      <c r="A4" s="2" t="s">
        <v>238</v>
      </c>
    </row>
    <row r="5" spans="1:1">
      <c r="A5" s="2" t="s">
        <v>250</v>
      </c>
    </row>
    <row r="6" spans="1:1">
      <c r="A6" s="2" t="s">
        <v>228</v>
      </c>
    </row>
    <row r="7" spans="1:1">
      <c r="A7" s="2" t="s">
        <v>105</v>
      </c>
    </row>
    <row r="8" spans="1:1">
      <c r="A8" s="2" t="s">
        <v>106</v>
      </c>
    </row>
    <row r="9" spans="1:1">
      <c r="A9" s="2" t="s">
        <v>239</v>
      </c>
    </row>
    <row r="10" spans="1:1">
      <c r="A10" s="2" t="s">
        <v>107</v>
      </c>
    </row>
    <row r="11" spans="1:1">
      <c r="A11" s="2" t="s">
        <v>240</v>
      </c>
    </row>
    <row r="12" spans="1:1">
      <c r="A12" s="2" t="s">
        <v>229</v>
      </c>
    </row>
    <row r="13" spans="1:1">
      <c r="A13" s="2" t="s">
        <v>241</v>
      </c>
    </row>
    <row r="14" spans="1:1">
      <c r="A14" s="2" t="s">
        <v>251</v>
      </c>
    </row>
    <row r="16" spans="1:1">
      <c r="A16" s="2" t="s">
        <v>252</v>
      </c>
    </row>
    <row r="17" spans="1:1">
      <c r="A17" s="2" t="s">
        <v>230</v>
      </c>
    </row>
    <row r="18" spans="1:1">
      <c r="A18" s="2" t="s">
        <v>242</v>
      </c>
    </row>
    <row r="20" spans="1:1">
      <c r="A20" s="2" t="s">
        <v>231</v>
      </c>
    </row>
    <row r="21" spans="1:1">
      <c r="A21" s="2" t="s">
        <v>243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205F4-4811-4D12-951C-8498E0A1092E}">
  <dimension ref="A1:CD39"/>
  <sheetViews>
    <sheetView topLeftCell="AE13" zoomScale="57" zoomScaleNormal="57" workbookViewId="0">
      <selection activeCell="AO15" sqref="AO15:AO16"/>
    </sheetView>
  </sheetViews>
  <sheetFormatPr defaultColWidth="11.42578125" defaultRowHeight="14.25"/>
  <cols>
    <col min="1" max="1" width="0" style="169" hidden="1" customWidth="1"/>
    <col min="2" max="2" width="4.42578125" style="169" customWidth="1"/>
    <col min="3" max="3" width="6.28515625" style="169" customWidth="1"/>
    <col min="4" max="4" width="4.7109375" style="170" customWidth="1"/>
    <col min="5" max="5" width="21" style="170" customWidth="1"/>
    <col min="6" max="7" width="20.7109375" style="170" customWidth="1"/>
    <col min="8" max="8" width="18.28515625" style="170" customWidth="1"/>
    <col min="9" max="9" width="49" style="170" customWidth="1"/>
    <col min="10" max="10" width="53.7109375" style="170" customWidth="1"/>
    <col min="11" max="11" width="58.28515625" style="169" customWidth="1"/>
    <col min="12" max="12" width="25.42578125" style="171" customWidth="1"/>
    <col min="13" max="13" width="31.85546875" style="171" customWidth="1"/>
    <col min="14" max="14" width="23.85546875" style="171" customWidth="1"/>
    <col min="15" max="15" width="19.5703125" style="169" customWidth="1"/>
    <col min="16" max="16" width="16.42578125" style="169" customWidth="1"/>
    <col min="17" max="17" width="8.85546875" style="169" customWidth="1"/>
    <col min="18" max="18" width="57.28515625" style="169" customWidth="1"/>
    <col min="19" max="19" width="17.42578125" style="169" customWidth="1"/>
    <col min="20" max="20" width="10.42578125" style="169" customWidth="1"/>
    <col min="21" max="21" width="16" style="169" customWidth="1"/>
    <col min="22" max="22" width="5.7109375" style="169" customWidth="1"/>
    <col min="23" max="23" width="91.42578125" style="169" customWidth="1"/>
    <col min="24" max="24" width="57.28515625" style="169" customWidth="1"/>
    <col min="25" max="25" width="15.28515625" style="169" customWidth="1"/>
    <col min="26" max="26" width="6.7109375" style="169" customWidth="1"/>
    <col min="27" max="27" width="5" style="169" customWidth="1"/>
    <col min="28" max="28" width="5.42578125" style="169" customWidth="1"/>
    <col min="29" max="29" width="7.28515625" style="169" customWidth="1"/>
    <col min="30" max="30" width="6.7109375" style="169" customWidth="1"/>
    <col min="31" max="31" width="8.28515625" style="169" customWidth="1"/>
    <col min="32" max="32" width="27" style="169" customWidth="1"/>
    <col min="33" max="33" width="13.7109375" style="169" customWidth="1"/>
    <col min="34" max="38" width="16.140625" style="169" customWidth="1"/>
    <col min="39" max="40" width="7.28515625" style="169" customWidth="1"/>
    <col min="41" max="41" width="46.42578125" style="169" customWidth="1"/>
    <col min="42" max="42" width="24.28515625" style="169" customWidth="1"/>
    <col min="43" max="44" width="23.140625" style="169" customWidth="1"/>
    <col min="45" max="46" width="19.7109375" style="169" customWidth="1"/>
    <col min="47" max="47" width="35.42578125" style="169" customWidth="1"/>
    <col min="48" max="50" width="34.7109375" style="169" customWidth="1"/>
    <col min="51" max="51" width="29" style="169" customWidth="1"/>
    <col min="52" max="52" width="23.28515625" style="169" customWidth="1"/>
    <col min="53" max="53" width="68.42578125" style="169" customWidth="1"/>
    <col min="54" max="54" width="31.42578125" style="169" customWidth="1"/>
    <col min="55" max="55" width="30.42578125" style="169" customWidth="1"/>
    <col min="56" max="56" width="53" style="169" customWidth="1"/>
    <col min="57" max="59" width="0" style="169" hidden="1" customWidth="1"/>
    <col min="60" max="61" width="11.42578125" style="169" hidden="1" customWidth="1"/>
    <col min="62" max="63" width="0" style="169" hidden="1" customWidth="1"/>
    <col min="64" max="16384" width="11.42578125" style="169"/>
  </cols>
  <sheetData>
    <row r="1" spans="1:82" ht="15" thickBot="1"/>
    <row r="2" spans="1:82" ht="27.75" customHeight="1">
      <c r="D2" s="281" t="s">
        <v>7</v>
      </c>
      <c r="E2" s="282"/>
      <c r="F2" s="282"/>
      <c r="G2" s="282"/>
      <c r="H2" s="283"/>
      <c r="I2" s="290" t="s">
        <v>8</v>
      </c>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13" t="s">
        <v>9</v>
      </c>
    </row>
    <row r="3" spans="1:82" ht="27.75" customHeight="1">
      <c r="D3" s="284"/>
      <c r="E3" s="285"/>
      <c r="F3" s="285"/>
      <c r="G3" s="285"/>
      <c r="H3" s="286"/>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20" t="s">
        <v>10</v>
      </c>
    </row>
    <row r="4" spans="1:82" ht="27.75" customHeight="1">
      <c r="D4" s="284"/>
      <c r="E4" s="285"/>
      <c r="F4" s="285"/>
      <c r="G4" s="285"/>
      <c r="H4" s="286"/>
      <c r="I4" s="290"/>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14" t="s">
        <v>4</v>
      </c>
    </row>
    <row r="5" spans="1:82" ht="27.75" customHeight="1" thickBot="1">
      <c r="D5" s="287"/>
      <c r="E5" s="288"/>
      <c r="F5" s="288"/>
      <c r="G5" s="288"/>
      <c r="H5" s="289"/>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14" t="s">
        <v>11</v>
      </c>
    </row>
    <row r="6" spans="1:82" ht="14.1" customHeight="1">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15"/>
    </row>
    <row r="7" spans="1:82" ht="26.25" customHeight="1">
      <c r="D7" s="291" t="s">
        <v>12</v>
      </c>
      <c r="E7" s="292"/>
      <c r="F7" s="292"/>
      <c r="G7" s="293"/>
      <c r="H7" s="294" t="s">
        <v>88</v>
      </c>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48.75" customHeight="1">
      <c r="D8" s="291" t="s">
        <v>13</v>
      </c>
      <c r="E8" s="292"/>
      <c r="F8" s="292"/>
      <c r="G8" s="293"/>
      <c r="H8" s="296" t="s">
        <v>89</v>
      </c>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48.75" customHeight="1">
      <c r="D9" s="291" t="s">
        <v>14</v>
      </c>
      <c r="E9" s="292"/>
      <c r="F9" s="292"/>
      <c r="G9" s="293"/>
      <c r="H9" s="296" t="s">
        <v>90</v>
      </c>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16"/>
      <c r="AT10" s="216"/>
      <c r="AU10" s="216"/>
      <c r="AV10" s="216"/>
      <c r="AW10" s="216"/>
      <c r="AX10" s="216"/>
      <c r="AY10" s="216"/>
      <c r="AZ10" s="179"/>
      <c r="BA10" s="179"/>
      <c r="BB10" s="179"/>
      <c r="BC10" s="179"/>
      <c r="BD10" s="179"/>
    </row>
    <row r="11" spans="1:82" s="174" customFormat="1" ht="25.5" customHeight="1">
      <c r="A11" s="269" t="s">
        <v>15</v>
      </c>
      <c r="B11" s="269"/>
      <c r="C11" s="270"/>
      <c r="D11" s="271" t="s">
        <v>16</v>
      </c>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3" t="s">
        <v>16</v>
      </c>
      <c r="AT11" s="273"/>
      <c r="AU11" s="273"/>
      <c r="AV11" s="273"/>
      <c r="AW11" s="273"/>
      <c r="AX11" s="273"/>
      <c r="AY11" s="273"/>
      <c r="AZ11" s="274" t="s">
        <v>18</v>
      </c>
      <c r="BA11" s="273"/>
      <c r="BB11" s="273"/>
      <c r="BC11" s="275" t="s">
        <v>19</v>
      </c>
      <c r="BD11" s="276"/>
    </row>
    <row r="12" spans="1:82" ht="27" customHeight="1">
      <c r="D12" s="279" t="s">
        <v>20</v>
      </c>
      <c r="E12" s="279"/>
      <c r="F12" s="279"/>
      <c r="G12" s="279"/>
      <c r="H12" s="279"/>
      <c r="I12" s="280"/>
      <c r="J12" s="280"/>
      <c r="K12" s="280"/>
      <c r="L12" s="280"/>
      <c r="M12" s="280"/>
      <c r="N12" s="280"/>
      <c r="O12" s="280"/>
      <c r="P12" s="280" t="s">
        <v>21</v>
      </c>
      <c r="Q12" s="280"/>
      <c r="R12" s="280"/>
      <c r="S12" s="280"/>
      <c r="T12" s="280"/>
      <c r="U12" s="280"/>
      <c r="V12" s="280" t="s">
        <v>22</v>
      </c>
      <c r="W12" s="280"/>
      <c r="X12" s="280"/>
      <c r="Y12" s="280"/>
      <c r="Z12" s="280"/>
      <c r="AA12" s="280"/>
      <c r="AB12" s="280"/>
      <c r="AC12" s="280"/>
      <c r="AD12" s="280"/>
      <c r="AE12" s="280"/>
      <c r="AF12" s="310" t="s">
        <v>23</v>
      </c>
      <c r="AG12" s="280" t="s">
        <v>24</v>
      </c>
      <c r="AH12" s="280"/>
      <c r="AI12" s="280"/>
      <c r="AJ12" s="280"/>
      <c r="AK12" s="280"/>
      <c r="AL12" s="280"/>
      <c r="AM12" s="280"/>
      <c r="AN12" s="218"/>
      <c r="AO12" s="271" t="s">
        <v>25</v>
      </c>
      <c r="AP12" s="272"/>
      <c r="AQ12" s="272"/>
      <c r="AR12" s="272"/>
      <c r="AS12" s="273"/>
      <c r="AT12" s="273"/>
      <c r="AU12" s="273"/>
      <c r="AV12" s="273"/>
      <c r="AW12" s="273"/>
      <c r="AX12" s="273"/>
      <c r="AY12" s="273"/>
      <c r="AZ12" s="274"/>
      <c r="BA12" s="273"/>
      <c r="BB12" s="273"/>
      <c r="BC12" s="277"/>
      <c r="BD12" s="278"/>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45.75" customHeight="1">
      <c r="D13" s="297" t="s">
        <v>26</v>
      </c>
      <c r="E13" s="298" t="s">
        <v>27</v>
      </c>
      <c r="F13" s="299" t="s">
        <v>28</v>
      </c>
      <c r="G13" s="300" t="s">
        <v>29</v>
      </c>
      <c r="H13" s="279" t="s">
        <v>30</v>
      </c>
      <c r="I13" s="298" t="s">
        <v>31</v>
      </c>
      <c r="J13" s="298" t="s">
        <v>32</v>
      </c>
      <c r="K13" s="298" t="s">
        <v>33</v>
      </c>
      <c r="L13" s="300" t="s">
        <v>34</v>
      </c>
      <c r="M13" s="304" t="s">
        <v>35</v>
      </c>
      <c r="N13" s="305"/>
      <c r="O13" s="298" t="s">
        <v>36</v>
      </c>
      <c r="P13" s="298" t="s">
        <v>37</v>
      </c>
      <c r="Q13" s="279" t="s">
        <v>38</v>
      </c>
      <c r="R13" s="298" t="s">
        <v>39</v>
      </c>
      <c r="S13" s="298" t="s">
        <v>40</v>
      </c>
      <c r="T13" s="279" t="s">
        <v>38</v>
      </c>
      <c r="U13" s="298" t="s">
        <v>41</v>
      </c>
      <c r="V13" s="303" t="s">
        <v>42</v>
      </c>
      <c r="W13" s="298" t="s">
        <v>43</v>
      </c>
      <c r="X13" s="298" t="s">
        <v>44</v>
      </c>
      <c r="Y13" s="298" t="s">
        <v>45</v>
      </c>
      <c r="Z13" s="298" t="s">
        <v>46</v>
      </c>
      <c r="AA13" s="298"/>
      <c r="AB13" s="298"/>
      <c r="AC13" s="298"/>
      <c r="AD13" s="298"/>
      <c r="AE13" s="298"/>
      <c r="AF13" s="311"/>
      <c r="AG13" s="303" t="s">
        <v>47</v>
      </c>
      <c r="AH13" s="303" t="s">
        <v>48</v>
      </c>
      <c r="AI13" s="303" t="s">
        <v>38</v>
      </c>
      <c r="AJ13" s="303" t="s">
        <v>49</v>
      </c>
      <c r="AK13" s="303" t="s">
        <v>38</v>
      </c>
      <c r="AL13" s="303" t="s">
        <v>50</v>
      </c>
      <c r="AM13" s="303" t="s">
        <v>51</v>
      </c>
      <c r="AN13" s="303" t="s">
        <v>52</v>
      </c>
      <c r="AO13" s="298" t="s">
        <v>53</v>
      </c>
      <c r="AP13" s="298" t="s">
        <v>54</v>
      </c>
      <c r="AQ13" s="298" t="s">
        <v>55</v>
      </c>
      <c r="AR13" s="300" t="s">
        <v>56</v>
      </c>
      <c r="AS13" s="306" t="s">
        <v>91</v>
      </c>
      <c r="AT13" s="308" t="s">
        <v>58</v>
      </c>
      <c r="AU13" s="308" t="s">
        <v>59</v>
      </c>
      <c r="AV13" s="308" t="s">
        <v>60</v>
      </c>
      <c r="AW13" s="308" t="s">
        <v>61</v>
      </c>
      <c r="AX13" s="308" t="s">
        <v>62</v>
      </c>
      <c r="AY13" s="308" t="s">
        <v>63</v>
      </c>
      <c r="AZ13" s="298" t="s">
        <v>64</v>
      </c>
      <c r="BA13" s="298" t="s">
        <v>65</v>
      </c>
      <c r="BB13" s="298" t="s">
        <v>66</v>
      </c>
      <c r="BC13" s="319" t="s">
        <v>64</v>
      </c>
      <c r="BD13" s="319" t="s">
        <v>67</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106.5" customHeight="1">
      <c r="A14" s="180"/>
      <c r="B14" s="180"/>
      <c r="C14" s="180"/>
      <c r="D14" s="297"/>
      <c r="E14" s="298"/>
      <c r="F14" s="280"/>
      <c r="G14" s="301"/>
      <c r="H14" s="279"/>
      <c r="I14" s="298"/>
      <c r="J14" s="298"/>
      <c r="K14" s="279"/>
      <c r="L14" s="301"/>
      <c r="M14" s="191" t="s">
        <v>68</v>
      </c>
      <c r="N14" s="191" t="s">
        <v>69</v>
      </c>
      <c r="O14" s="298"/>
      <c r="P14" s="298"/>
      <c r="Q14" s="279"/>
      <c r="R14" s="298"/>
      <c r="S14" s="279"/>
      <c r="T14" s="279"/>
      <c r="U14" s="298"/>
      <c r="V14" s="303"/>
      <c r="W14" s="298"/>
      <c r="X14" s="298"/>
      <c r="Y14" s="298"/>
      <c r="Z14" s="207" t="s">
        <v>70</v>
      </c>
      <c r="AA14" s="207" t="s">
        <v>71</v>
      </c>
      <c r="AB14" s="207" t="s">
        <v>72</v>
      </c>
      <c r="AC14" s="207" t="s">
        <v>23</v>
      </c>
      <c r="AD14" s="207" t="s">
        <v>73</v>
      </c>
      <c r="AE14" s="207" t="s">
        <v>74</v>
      </c>
      <c r="AF14" s="312"/>
      <c r="AG14" s="303"/>
      <c r="AH14" s="303"/>
      <c r="AI14" s="303"/>
      <c r="AJ14" s="303"/>
      <c r="AK14" s="303"/>
      <c r="AL14" s="303"/>
      <c r="AM14" s="303"/>
      <c r="AN14" s="303"/>
      <c r="AO14" s="298"/>
      <c r="AP14" s="298"/>
      <c r="AQ14" s="298"/>
      <c r="AR14" s="301"/>
      <c r="AS14" s="307"/>
      <c r="AT14" s="309"/>
      <c r="AU14" s="309"/>
      <c r="AV14" s="309"/>
      <c r="AW14" s="309"/>
      <c r="AX14" s="309"/>
      <c r="AY14" s="309"/>
      <c r="AZ14" s="300"/>
      <c r="BA14" s="300"/>
      <c r="BB14" s="300"/>
      <c r="BC14" s="309"/>
      <c r="BD14" s="309"/>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223" customFormat="1" ht="138" customHeight="1">
      <c r="D15" s="320">
        <v>1</v>
      </c>
      <c r="E15" s="322" t="s">
        <v>92</v>
      </c>
      <c r="F15" s="322" t="s">
        <v>93</v>
      </c>
      <c r="G15" s="324"/>
      <c r="H15" s="322" t="s">
        <v>94</v>
      </c>
      <c r="I15" s="437" t="s">
        <v>95</v>
      </c>
      <c r="J15" s="437" t="s">
        <v>96</v>
      </c>
      <c r="K15" s="437" t="s">
        <v>97</v>
      </c>
      <c r="L15" s="313" t="s">
        <v>98</v>
      </c>
      <c r="M15" s="315" t="s">
        <v>99</v>
      </c>
      <c r="N15" s="315" t="s">
        <v>100</v>
      </c>
      <c r="O15" s="313">
        <v>11</v>
      </c>
      <c r="P15" s="317" t="str">
        <f>IF(O15&lt;=0,"",IF(O15&lt;=2,"Muy Baja",IF(O15&lt;=24,"Baja",IF(O15&lt;=500,"Media",IF(O15&lt;=5000,"Alta","Muy Alta")))))</f>
        <v>Baja</v>
      </c>
      <c r="Q15" s="338">
        <f>IF(P15="","",IF(P15="Muy Baja",0.2,IF(P15="Baja",0.4,IF(P15="Media",0.6,IF(P15="Alta",0.8,IF(P15="Muy Alta",1,))))))</f>
        <v>0.4</v>
      </c>
      <c r="R15" s="340" t="s">
        <v>101</v>
      </c>
      <c r="S15" s="317" t="str">
        <f>IFERROR(VLOOKUP(R15,Criterios[],2,FALSE),"")</f>
        <v>Moderado</v>
      </c>
      <c r="T15" s="338">
        <f t="shared" ref="T15" si="0">IF(S15="","",IF(S15="Leve",0.2,IF(S15="Menor",0.4,IF(S15="Moderado",0.6,IF(S15="Mayor",0.8,IF(S15="Catastrófico",1,))))))</f>
        <v>0.6</v>
      </c>
      <c r="U15" s="317"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Moderado</v>
      </c>
      <c r="V15" s="224">
        <v>1</v>
      </c>
      <c r="W15" s="225" t="s">
        <v>102</v>
      </c>
      <c r="X15" s="226" t="s">
        <v>103</v>
      </c>
      <c r="Y15" s="227" t="str">
        <f t="shared" ref="Y15:Y32" si="1">IF(OR(Z15="Preventivo",Z15="Detectivo"),"Probabilidad",IF(Z15="Correctivo","Impacto",""))</f>
        <v>Probabilidad</v>
      </c>
      <c r="Z15" s="228" t="s">
        <v>104</v>
      </c>
      <c r="AA15" s="228" t="s">
        <v>105</v>
      </c>
      <c r="AB15" s="229" t="str">
        <f t="shared" ref="AB15:AB32" si="2">IF(AND(Z15="Preventivo",AA15="Automático"),"50%",IF(AND(Z15="Preventivo",AA15="Manual"),"40%",IF(AND(Z15="Detectivo",AA15="Automático"),"40%",IF(AND(Z15="Detectivo",AA15="Manual"),"30%",IF(AND(Z15="Correctivo",AA15="Automático"),"35%",IF(AND(Z15="Correctivo",AA15="Manual"),"25%",""))))))</f>
        <v>40%</v>
      </c>
      <c r="AC15" s="228" t="s">
        <v>106</v>
      </c>
      <c r="AD15" s="228" t="s">
        <v>107</v>
      </c>
      <c r="AE15" s="228" t="s">
        <v>108</v>
      </c>
      <c r="AF15" s="230" t="s">
        <v>109</v>
      </c>
      <c r="AG15" s="231">
        <f>IFERROR(IF(Y15="Probabilidad",(Q15-(+ Q15*AB15)),IF(Y15="Impacto",Q15,"")),"")</f>
        <v>0.24</v>
      </c>
      <c r="AH15" s="232" t="str">
        <f>IFERROR(IF(AG15="","",IF(AG15&lt;=0.2,"Muy Baja",IF(AG15&lt;=0.4,"Baja",IF(AG15&lt;=0.6,"Media",IF(AG15&lt;=0.8,"Alta","Muy Alta"))))),"")</f>
        <v>Baja</v>
      </c>
      <c r="AI15" s="229">
        <f>+AG15</f>
        <v>0.24</v>
      </c>
      <c r="AJ15" s="232" t="str">
        <f>IFERROR(IF(AK15="","",IF(AK15&lt;=0.2,"Leve",IF(AK15&lt;=0.4,"Menor",IF(AK15&lt;=0.6,"Moderado",IF(AK15&lt;=0.8,"Mayor","Catastrófico"))))),"")</f>
        <v>Moderado</v>
      </c>
      <c r="AK15" s="229">
        <f>IFERROR(IF(Y15="Impacto",(T15-(+T15*AB15)),IF(Y15="Probabilidad",T15,"")),"")</f>
        <v>0.6</v>
      </c>
      <c r="AL15" s="232"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Moderado</v>
      </c>
      <c r="AM15" s="342" t="s">
        <v>75</v>
      </c>
      <c r="AN15" s="322">
        <v>1</v>
      </c>
      <c r="AO15" s="326" t="s">
        <v>110</v>
      </c>
      <c r="AP15" s="331" t="s">
        <v>111</v>
      </c>
      <c r="AQ15" s="333" t="s">
        <v>112</v>
      </c>
      <c r="AR15" s="333">
        <v>46336</v>
      </c>
      <c r="AS15" s="333">
        <v>46268</v>
      </c>
      <c r="AT15" s="385" t="s">
        <v>113</v>
      </c>
      <c r="AU15" s="233"/>
      <c r="AV15" s="233"/>
      <c r="AW15" s="233"/>
      <c r="AX15" s="233"/>
      <c r="AY15" s="233"/>
      <c r="AZ15" s="335"/>
      <c r="BA15" s="234"/>
      <c r="BB15" s="235"/>
      <c r="BC15" s="328"/>
      <c r="BD15" s="236"/>
      <c r="BE15" s="237"/>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row>
    <row r="16" spans="1:82" s="223" customFormat="1" ht="132.75" customHeight="1">
      <c r="D16" s="321"/>
      <c r="E16" s="323"/>
      <c r="F16" s="323"/>
      <c r="G16" s="325"/>
      <c r="H16" s="323"/>
      <c r="I16" s="438"/>
      <c r="J16" s="438"/>
      <c r="K16" s="439"/>
      <c r="L16" s="314"/>
      <c r="M16" s="316"/>
      <c r="N16" s="316"/>
      <c r="O16" s="314"/>
      <c r="P16" s="318"/>
      <c r="Q16" s="339"/>
      <c r="R16" s="341"/>
      <c r="S16" s="318"/>
      <c r="T16" s="339"/>
      <c r="U16" s="318"/>
      <c r="V16" s="239">
        <v>2</v>
      </c>
      <c r="W16" s="225" t="s">
        <v>114</v>
      </c>
      <c r="X16" s="226" t="s">
        <v>115</v>
      </c>
      <c r="Y16" s="227" t="str">
        <f t="shared" si="1"/>
        <v>Probabilidad</v>
      </c>
      <c r="Z16" s="228" t="s">
        <v>104</v>
      </c>
      <c r="AA16" s="228" t="s">
        <v>105</v>
      </c>
      <c r="AB16" s="229" t="str">
        <f t="shared" si="2"/>
        <v>40%</v>
      </c>
      <c r="AC16" s="228" t="s">
        <v>106</v>
      </c>
      <c r="AD16" s="228" t="s">
        <v>107</v>
      </c>
      <c r="AE16" s="228" t="s">
        <v>108</v>
      </c>
      <c r="AF16" s="230" t="s">
        <v>116</v>
      </c>
      <c r="AG16" s="231">
        <f t="shared" ref="AG16:AG32" si="3">IFERROR(IF(Y16="Probabilidad",(Q16-(+ Q16*AB16)),IF(Y16="Impacto",Q16,"")),"")</f>
        <v>0</v>
      </c>
      <c r="AH16" s="232" t="str">
        <f t="shared" ref="AH16:AH32" si="4">IFERROR(IF(AG16="","",IF(AG16&lt;=0.2,"Muy Baja",IF(AG16&lt;=0.4,"Baja",IF(AG16&lt;=0.6,"Media",IF(AG16&lt;=0.8,"Alta","Muy Alta"))))),"")</f>
        <v>Muy Baja</v>
      </c>
      <c r="AI16" s="229">
        <f t="shared" ref="AI16:AI31" si="5">+AG16</f>
        <v>0</v>
      </c>
      <c r="AJ16" s="232" t="str">
        <f t="shared" ref="AJ16:AJ32" si="6">IFERROR(IF(AK16="","",IF(AK16&lt;=0.2,"Leve",IF(AK16&lt;=0.4,"Menor",IF(AK16&lt;=0.6,"Moderado",IF(AK16&lt;=0.8,"Mayor","Catastrófico"))))),"")</f>
        <v>Moderado</v>
      </c>
      <c r="AK16" s="229">
        <f>IFERROR(IF(Y16="Impacto",(T16-(+T16*AB16)),IF(Y16="Probabilidad",T15,"")),"")</f>
        <v>0.6</v>
      </c>
      <c r="AL16" s="232" t="str">
        <f t="shared" ref="AL16:AL32" si="7">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Moderado</v>
      </c>
      <c r="AM16" s="343"/>
      <c r="AN16" s="323"/>
      <c r="AO16" s="327"/>
      <c r="AP16" s="332"/>
      <c r="AQ16" s="334"/>
      <c r="AR16" s="334"/>
      <c r="AS16" s="334"/>
      <c r="AT16" s="386"/>
      <c r="AU16" s="233"/>
      <c r="AV16" s="233"/>
      <c r="AW16" s="233"/>
      <c r="AX16" s="233"/>
      <c r="AY16" s="233"/>
      <c r="AZ16" s="336"/>
      <c r="BA16" s="234"/>
      <c r="BB16" s="240"/>
      <c r="BC16" s="329"/>
      <c r="BD16" s="236"/>
      <c r="BE16" s="241"/>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row>
    <row r="17" spans="4:82" s="223" customFormat="1" ht="93.75" customHeight="1">
      <c r="D17" s="320">
        <v>2</v>
      </c>
      <c r="E17" s="322" t="s">
        <v>92</v>
      </c>
      <c r="F17" s="322" t="s">
        <v>93</v>
      </c>
      <c r="G17" s="324"/>
      <c r="H17" s="322" t="s">
        <v>94</v>
      </c>
      <c r="I17" s="326" t="s">
        <v>117</v>
      </c>
      <c r="J17" s="440" t="s">
        <v>118</v>
      </c>
      <c r="K17" s="440" t="s">
        <v>119</v>
      </c>
      <c r="L17" s="313" t="s">
        <v>120</v>
      </c>
      <c r="M17" s="315" t="s">
        <v>99</v>
      </c>
      <c r="N17" s="315" t="s">
        <v>100</v>
      </c>
      <c r="O17" s="313">
        <v>79</v>
      </c>
      <c r="P17" s="317" t="str">
        <f>IF(O17&lt;=0,"",IF(O17&lt;=2,"Muy Baja",IF(O17&lt;=24,"Baja",IF(O17&lt;=500,"Media",IF(O17&lt;=5000,"Alta","Muy Alta")))))</f>
        <v>Media</v>
      </c>
      <c r="Q17" s="338">
        <f t="shared" ref="Q17" si="8">IF(P17="","",IF(P17="Muy Baja",0.2,IF(P17="Baja",0.4,IF(P17="Media",0.6,IF(P17="Alta",0.8,IF(P17="Muy Alta",1,))))))</f>
        <v>0.6</v>
      </c>
      <c r="R17" s="340" t="s">
        <v>101</v>
      </c>
      <c r="S17" s="317" t="str">
        <f>IFERROR(VLOOKUP(R17,Criterios[],2,FALSE),"")</f>
        <v>Moderado</v>
      </c>
      <c r="T17" s="338">
        <f t="shared" ref="T17" si="9">IF(S17="","",IF(S17="Leve",0.2,IF(S17="Menor",0.4,IF(S17="Moderado",0.6,IF(S17="Mayor",0.8,IF(S17="Catastrófico",1,))))))</f>
        <v>0.6</v>
      </c>
      <c r="U17" s="317" t="str">
        <f>IF(OR(AND(P17="Muy Baja",S17="Leve"),AND(P17="Muy Baja",S17="Menor"),AND(P17="Baja",S17="Leve")),"Bajo",IF(OR(AND(P17="Muy baja",S17="Moderado"),AND(P17="Baja",S17="Menor"),AND(P17="Baja",S17="Moderado"),AND(P17="Media",S17="Leve"),AND(P17="Media",S17="Menor"),AND(P17="Media",S17="Moderado"),AND(P17="Alta",S17="Leve"),AND(P17="Alta",S17="Menor")),"Moderado",IF(OR(AND(P17="Muy Baja",S17="Mayor"),AND(P17="Baja",S17="Mayor"),AND(P17="Media",S17="Mayor"),AND(P17="Alta",S17="Moderado"),AND(P17="Alta",S17="Mayor"),AND(P17="Muy Alta",S17="Leve"),AND(P17="Muy Alta",S17="Menor"),AND(P17="Muy Alta",S17="Moderado"),AND(P17="Muy Alta",S17="Mayor")),"Alto",IF(OR(AND(P17="Muy Baja",S17="Catastrófico"),AND(P17="Baja",S17="Catastrófico"),AND(P17="Media",S17="Catastrófico"),AND(P17="Alta",S17="Catastrófico"),AND(P17="Muy Alta",S17="Catastrófico")),"Extremo",""))))</f>
        <v>Moderado</v>
      </c>
      <c r="V17" s="224">
        <v>1</v>
      </c>
      <c r="W17" s="225" t="s">
        <v>121</v>
      </c>
      <c r="X17" s="226" t="s">
        <v>122</v>
      </c>
      <c r="Y17" s="227" t="str">
        <f t="shared" si="1"/>
        <v>Probabilidad</v>
      </c>
      <c r="Z17" s="228" t="s">
        <v>104</v>
      </c>
      <c r="AA17" s="228" t="s">
        <v>105</v>
      </c>
      <c r="AB17" s="229" t="str">
        <f t="shared" si="2"/>
        <v>40%</v>
      </c>
      <c r="AC17" s="228" t="s">
        <v>106</v>
      </c>
      <c r="AD17" s="228" t="s">
        <v>107</v>
      </c>
      <c r="AE17" s="228" t="s">
        <v>108</v>
      </c>
      <c r="AF17" s="230" t="s">
        <v>123</v>
      </c>
      <c r="AG17" s="231">
        <f t="shared" si="3"/>
        <v>0.36</v>
      </c>
      <c r="AH17" s="232" t="str">
        <f t="shared" si="4"/>
        <v>Baja</v>
      </c>
      <c r="AI17" s="229">
        <f t="shared" si="5"/>
        <v>0.36</v>
      </c>
      <c r="AJ17" s="232" t="str">
        <f>IFERROR(IF(AK17="","",IF(AK17&lt;=0.2,"Leve",IF(AK17&lt;=0.4,"Menor",IF(AK17&lt;=0.6,"Moderado",IF(AK17&lt;=0.8,"Mayor","Catastrófico"))))),"")</f>
        <v>Moderado</v>
      </c>
      <c r="AK17" s="229">
        <f>IFERROR(IF(Y17="Impacto",(T117-(+T17*AB17)),IF(Y17="Probabilidad",T17,"")),"")</f>
        <v>0.6</v>
      </c>
      <c r="AL17" s="232" t="str">
        <f t="shared" si="7"/>
        <v>Moderado</v>
      </c>
      <c r="AM17" s="342" t="s">
        <v>75</v>
      </c>
      <c r="AN17" s="322">
        <v>1</v>
      </c>
      <c r="AO17" s="326" t="s">
        <v>124</v>
      </c>
      <c r="AP17" s="331" t="s">
        <v>111</v>
      </c>
      <c r="AQ17" s="333" t="s">
        <v>125</v>
      </c>
      <c r="AR17" s="333">
        <v>46336</v>
      </c>
      <c r="AS17" s="333">
        <v>46268</v>
      </c>
      <c r="AT17" s="233"/>
      <c r="AU17" s="233"/>
      <c r="AV17" s="233"/>
      <c r="AW17" s="233"/>
      <c r="AX17" s="233"/>
      <c r="AY17" s="233"/>
      <c r="AZ17" s="336"/>
      <c r="BA17" s="234"/>
      <c r="BB17" s="240"/>
      <c r="BC17" s="329"/>
      <c r="BD17" s="236"/>
      <c r="BE17" s="238"/>
      <c r="BF17" s="241"/>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row>
    <row r="18" spans="4:82" s="223" customFormat="1" ht="90" customHeight="1">
      <c r="D18" s="321"/>
      <c r="E18" s="323"/>
      <c r="F18" s="323"/>
      <c r="G18" s="325"/>
      <c r="H18" s="323"/>
      <c r="I18" s="327"/>
      <c r="J18" s="327"/>
      <c r="K18" s="434"/>
      <c r="L18" s="314"/>
      <c r="M18" s="316"/>
      <c r="N18" s="316"/>
      <c r="O18" s="314"/>
      <c r="P18" s="318"/>
      <c r="Q18" s="339"/>
      <c r="R18" s="341"/>
      <c r="S18" s="318"/>
      <c r="T18" s="339"/>
      <c r="U18" s="318"/>
      <c r="V18" s="239">
        <v>2</v>
      </c>
      <c r="W18" s="225" t="s">
        <v>126</v>
      </c>
      <c r="X18" s="226" t="s">
        <v>127</v>
      </c>
      <c r="Y18" s="227" t="str">
        <f t="shared" si="1"/>
        <v>Probabilidad</v>
      </c>
      <c r="Z18" s="228" t="s">
        <v>104</v>
      </c>
      <c r="AA18" s="228" t="s">
        <v>105</v>
      </c>
      <c r="AB18" s="229" t="str">
        <f t="shared" si="2"/>
        <v>40%</v>
      </c>
      <c r="AC18" s="228" t="s">
        <v>106</v>
      </c>
      <c r="AD18" s="228" t="s">
        <v>107</v>
      </c>
      <c r="AE18" s="228" t="s">
        <v>108</v>
      </c>
      <c r="AF18" s="230" t="s">
        <v>128</v>
      </c>
      <c r="AG18" s="231">
        <f t="shared" si="3"/>
        <v>0</v>
      </c>
      <c r="AH18" s="232" t="str">
        <f t="shared" si="4"/>
        <v>Muy Baja</v>
      </c>
      <c r="AI18" s="229">
        <f t="shared" si="5"/>
        <v>0</v>
      </c>
      <c r="AJ18" s="232" t="str">
        <f t="shared" si="6"/>
        <v>Moderado</v>
      </c>
      <c r="AK18" s="229">
        <f>IFERROR(IF(Y18="Impacto",(T18-(+T18*AB18)),IF(Y18="Probabilidad",T17,"")),"")</f>
        <v>0.6</v>
      </c>
      <c r="AL18" s="232" t="str">
        <f t="shared" si="7"/>
        <v>Moderado</v>
      </c>
      <c r="AM18" s="343"/>
      <c r="AN18" s="323">
        <v>2</v>
      </c>
      <c r="AO18" s="327"/>
      <c r="AP18" s="332"/>
      <c r="AQ18" s="334"/>
      <c r="AR18" s="334"/>
      <c r="AS18" s="334"/>
      <c r="AT18" s="233"/>
      <c r="AU18" s="233"/>
      <c r="AV18" s="233"/>
      <c r="AW18" s="233"/>
      <c r="AX18" s="233"/>
      <c r="AY18" s="233"/>
      <c r="AZ18" s="336"/>
      <c r="BA18" s="234"/>
      <c r="BB18" s="240"/>
      <c r="BC18" s="329"/>
      <c r="BD18" s="236"/>
      <c r="BE18" s="238"/>
      <c r="BF18" s="241"/>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row>
    <row r="19" spans="4:82" s="223" customFormat="1" ht="99.75" customHeight="1">
      <c r="D19" s="320">
        <v>3</v>
      </c>
      <c r="E19" s="322" t="s">
        <v>92</v>
      </c>
      <c r="F19" s="322" t="s">
        <v>93</v>
      </c>
      <c r="G19" s="324"/>
      <c r="H19" s="322" t="s">
        <v>94</v>
      </c>
      <c r="I19" s="326" t="s">
        <v>129</v>
      </c>
      <c r="J19" s="326" t="s">
        <v>130</v>
      </c>
      <c r="K19" s="326" t="s">
        <v>131</v>
      </c>
      <c r="L19" s="313" t="s">
        <v>120</v>
      </c>
      <c r="M19" s="315" t="s">
        <v>99</v>
      </c>
      <c r="N19" s="315" t="s">
        <v>132</v>
      </c>
      <c r="O19" s="313">
        <v>487</v>
      </c>
      <c r="P19" s="317" t="str">
        <f>IF(O19&lt;=0,"",IF(O19&lt;=2,"Muy Baja",IF(O19&lt;=24,"Baja",IF(O19&lt;=500,"Media",IF(O19&lt;=5000,"Alta","Muy Alta")))))</f>
        <v>Media</v>
      </c>
      <c r="Q19" s="338">
        <f t="shared" ref="Q19" si="10">IF(P19="","",IF(P19="Muy Baja",0.2,IF(P19="Baja",0.4,IF(P19="Media",0.6,IF(P19="Alta",0.8,IF(P19="Muy Alta",1,))))))</f>
        <v>0.6</v>
      </c>
      <c r="R19" s="340" t="s">
        <v>101</v>
      </c>
      <c r="S19" s="317" t="str">
        <f>IFERROR(VLOOKUP(R19,Criterios[],2,FALSE),"")</f>
        <v>Moderado</v>
      </c>
      <c r="T19" s="338">
        <f t="shared" ref="T19" si="11">IF(S19="","",IF(S19="Leve",0.2,IF(S19="Menor",0.4,IF(S19="Moderado",0.6,IF(S19="Mayor",0.8,IF(S19="Catastrófico",1,))))))</f>
        <v>0.6</v>
      </c>
      <c r="U19" s="317" t="str">
        <f t="shared" ref="U19" si="12">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Moderado</v>
      </c>
      <c r="V19" s="224">
        <v>1</v>
      </c>
      <c r="W19" s="225" t="s">
        <v>133</v>
      </c>
      <c r="X19" s="226" t="s">
        <v>134</v>
      </c>
      <c r="Y19" s="227" t="str">
        <f t="shared" si="1"/>
        <v>Probabilidad</v>
      </c>
      <c r="Z19" s="228" t="s">
        <v>104</v>
      </c>
      <c r="AA19" s="228" t="s">
        <v>105</v>
      </c>
      <c r="AB19" s="229" t="str">
        <f t="shared" si="2"/>
        <v>40%</v>
      </c>
      <c r="AC19" s="228" t="s">
        <v>106</v>
      </c>
      <c r="AD19" s="228" t="s">
        <v>107</v>
      </c>
      <c r="AE19" s="228" t="s">
        <v>108</v>
      </c>
      <c r="AF19" s="230" t="s">
        <v>135</v>
      </c>
      <c r="AG19" s="231">
        <f t="shared" si="3"/>
        <v>0.36</v>
      </c>
      <c r="AH19" s="232" t="str">
        <f t="shared" si="4"/>
        <v>Baja</v>
      </c>
      <c r="AI19" s="229">
        <f t="shared" si="5"/>
        <v>0.36</v>
      </c>
      <c r="AJ19" s="232" t="str">
        <f t="shared" si="6"/>
        <v>Leve</v>
      </c>
      <c r="AK19" s="229">
        <f t="shared" ref="AK19:AK32" si="13">IFERROR(IF(Y19="Impacto",(T19-(+T19*AB19)),IF(Y19="Probabilidad",T18,"")),"")</f>
        <v>0</v>
      </c>
      <c r="AL19" s="232" t="str">
        <f t="shared" si="7"/>
        <v>Bajo</v>
      </c>
      <c r="AM19" s="342" t="s">
        <v>75</v>
      </c>
      <c r="AN19" s="322">
        <v>1</v>
      </c>
      <c r="AO19" s="326" t="s">
        <v>136</v>
      </c>
      <c r="AP19" s="331" t="s">
        <v>111</v>
      </c>
      <c r="AQ19" s="333" t="s">
        <v>137</v>
      </c>
      <c r="AR19" s="333">
        <v>46336</v>
      </c>
      <c r="AS19" s="333">
        <v>46268</v>
      </c>
      <c r="AT19" s="233"/>
      <c r="AU19" s="233"/>
      <c r="AV19" s="233"/>
      <c r="AW19" s="233"/>
      <c r="AX19" s="233"/>
      <c r="AY19" s="233"/>
      <c r="AZ19" s="336"/>
      <c r="BA19" s="234"/>
      <c r="BB19" s="240"/>
      <c r="BC19" s="329"/>
      <c r="BD19" s="236"/>
      <c r="BE19" s="238"/>
      <c r="BF19" s="241"/>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row>
    <row r="20" spans="4:82" s="223" customFormat="1" ht="82.5" customHeight="1">
      <c r="D20" s="321"/>
      <c r="E20" s="323"/>
      <c r="F20" s="323"/>
      <c r="G20" s="325"/>
      <c r="H20" s="323"/>
      <c r="I20" s="327"/>
      <c r="J20" s="327"/>
      <c r="K20" s="434"/>
      <c r="L20" s="314"/>
      <c r="M20" s="316"/>
      <c r="N20" s="316"/>
      <c r="O20" s="314"/>
      <c r="P20" s="318"/>
      <c r="Q20" s="339"/>
      <c r="R20" s="341"/>
      <c r="S20" s="318"/>
      <c r="T20" s="339"/>
      <c r="U20" s="318"/>
      <c r="V20" s="239">
        <v>2</v>
      </c>
      <c r="W20" s="225" t="s">
        <v>138</v>
      </c>
      <c r="X20" s="226" t="s">
        <v>139</v>
      </c>
      <c r="Y20" s="227" t="str">
        <f t="shared" si="1"/>
        <v>Probabilidad</v>
      </c>
      <c r="Z20" s="228" t="s">
        <v>104</v>
      </c>
      <c r="AA20" s="228" t="s">
        <v>105</v>
      </c>
      <c r="AB20" s="229" t="str">
        <f t="shared" si="2"/>
        <v>40%</v>
      </c>
      <c r="AC20" s="228" t="s">
        <v>106</v>
      </c>
      <c r="AD20" s="228" t="s">
        <v>107</v>
      </c>
      <c r="AE20" s="228" t="s">
        <v>108</v>
      </c>
      <c r="AF20" s="230" t="s">
        <v>135</v>
      </c>
      <c r="AG20" s="231">
        <f t="shared" si="3"/>
        <v>0</v>
      </c>
      <c r="AH20" s="232" t="str">
        <f t="shared" si="4"/>
        <v>Muy Baja</v>
      </c>
      <c r="AI20" s="229">
        <f t="shared" si="5"/>
        <v>0</v>
      </c>
      <c r="AJ20" s="232" t="str">
        <f t="shared" si="6"/>
        <v>Moderado</v>
      </c>
      <c r="AK20" s="229">
        <f t="shared" si="13"/>
        <v>0.6</v>
      </c>
      <c r="AL20" s="232" t="str">
        <f t="shared" si="7"/>
        <v>Moderado</v>
      </c>
      <c r="AM20" s="343"/>
      <c r="AN20" s="323"/>
      <c r="AO20" s="327"/>
      <c r="AP20" s="332"/>
      <c r="AQ20" s="334"/>
      <c r="AR20" s="334"/>
      <c r="AS20" s="334"/>
      <c r="AT20" s="233"/>
      <c r="AU20" s="233"/>
      <c r="AV20" s="233"/>
      <c r="AW20" s="233"/>
      <c r="AX20" s="233"/>
      <c r="AY20" s="233"/>
      <c r="AZ20" s="336"/>
      <c r="BA20" s="234"/>
      <c r="BB20" s="240"/>
      <c r="BC20" s="329"/>
      <c r="BD20" s="236"/>
      <c r="BE20" s="241"/>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row>
    <row r="21" spans="4:82" s="223" customFormat="1" ht="39.75" customHeight="1">
      <c r="D21" s="320">
        <v>4</v>
      </c>
      <c r="E21" s="322"/>
      <c r="F21" s="322"/>
      <c r="G21" s="324"/>
      <c r="H21" s="322"/>
      <c r="I21" s="326"/>
      <c r="J21" s="326"/>
      <c r="K21" s="326"/>
      <c r="L21" s="313"/>
      <c r="M21" s="315"/>
      <c r="N21" s="315"/>
      <c r="O21" s="313"/>
      <c r="P21" s="317" t="str">
        <f>IF(O21&lt;=0,"",IF(O21&lt;=2,"Muy Baja",IF(O21&lt;=24,"Baja",IF(O21&lt;=500,"Media",IF(O21&lt;=5000,"Alta","Muy Alta")))))</f>
        <v/>
      </c>
      <c r="Q21" s="338" t="str">
        <f t="shared" ref="Q21" si="14">IF(P21="","",IF(P21="Muy Baja",0.2,IF(P21="Baja",0.4,IF(P21="Media",0.6,IF(P21="Alta",0.8,IF(P21="Muy Alta",1,))))))</f>
        <v/>
      </c>
      <c r="R21" s="340"/>
      <c r="S21" s="317" t="str">
        <f>IFERROR(VLOOKUP(R21,Criterios[],2,FALSE),"")</f>
        <v/>
      </c>
      <c r="T21" s="338" t="str">
        <f t="shared" ref="T21" si="15">IF(S21="","",IF(S21="Leve",0.2,IF(S21="Menor",0.4,IF(S21="Moderado",0.6,IF(S21="Mayor",0.8,IF(S21="Catastrófico",1,))))))</f>
        <v/>
      </c>
      <c r="U21" s="317" t="str">
        <f t="shared" ref="U21" si="16">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
      </c>
      <c r="V21" s="224">
        <v>1</v>
      </c>
      <c r="W21" s="225"/>
      <c r="X21" s="226"/>
      <c r="Y21" s="227" t="str">
        <f t="shared" si="1"/>
        <v/>
      </c>
      <c r="Z21" s="228"/>
      <c r="AA21" s="228"/>
      <c r="AB21" s="229" t="str">
        <f t="shared" si="2"/>
        <v/>
      </c>
      <c r="AC21" s="228"/>
      <c r="AD21" s="228"/>
      <c r="AE21" s="228"/>
      <c r="AF21" s="230"/>
      <c r="AG21" s="231" t="str">
        <f t="shared" si="3"/>
        <v/>
      </c>
      <c r="AH21" s="232" t="str">
        <f t="shared" si="4"/>
        <v/>
      </c>
      <c r="AI21" s="229" t="str">
        <f t="shared" si="5"/>
        <v/>
      </c>
      <c r="AJ21" s="232" t="str">
        <f t="shared" si="6"/>
        <v/>
      </c>
      <c r="AK21" s="229" t="str">
        <f t="shared" si="13"/>
        <v/>
      </c>
      <c r="AL21" s="232" t="str">
        <f t="shared" si="7"/>
        <v/>
      </c>
      <c r="AM21" s="342" t="s">
        <v>75</v>
      </c>
      <c r="AN21" s="224">
        <v>1</v>
      </c>
      <c r="AO21" s="326"/>
      <c r="AP21" s="331"/>
      <c r="AQ21" s="333"/>
      <c r="AR21" s="333"/>
      <c r="AS21" s="333"/>
      <c r="AT21" s="233"/>
      <c r="AU21" s="233"/>
      <c r="AV21" s="233"/>
      <c r="AW21" s="233"/>
      <c r="AX21" s="233"/>
      <c r="AY21" s="233"/>
      <c r="AZ21" s="336"/>
      <c r="BA21" s="242"/>
      <c r="BB21" s="242"/>
      <c r="BC21" s="329"/>
      <c r="BD21" s="236"/>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row>
    <row r="22" spans="4:82" s="223" customFormat="1" ht="39.75" customHeight="1">
      <c r="D22" s="321"/>
      <c r="E22" s="323"/>
      <c r="F22" s="323"/>
      <c r="G22" s="325"/>
      <c r="H22" s="323"/>
      <c r="I22" s="327"/>
      <c r="J22" s="327"/>
      <c r="K22" s="327"/>
      <c r="L22" s="314"/>
      <c r="M22" s="316"/>
      <c r="N22" s="316"/>
      <c r="O22" s="314"/>
      <c r="P22" s="318"/>
      <c r="Q22" s="339"/>
      <c r="R22" s="341"/>
      <c r="S22" s="318"/>
      <c r="T22" s="339"/>
      <c r="U22" s="318"/>
      <c r="V22" s="239">
        <v>2</v>
      </c>
      <c r="W22" s="225"/>
      <c r="X22" s="226"/>
      <c r="Y22" s="227" t="str">
        <f t="shared" si="1"/>
        <v/>
      </c>
      <c r="Z22" s="228"/>
      <c r="AA22" s="228"/>
      <c r="AB22" s="229" t="str">
        <f t="shared" si="2"/>
        <v/>
      </c>
      <c r="AC22" s="228"/>
      <c r="AD22" s="228"/>
      <c r="AE22" s="228"/>
      <c r="AF22" s="230"/>
      <c r="AG22" s="231" t="str">
        <f t="shared" si="3"/>
        <v/>
      </c>
      <c r="AH22" s="232" t="str">
        <f t="shared" si="4"/>
        <v/>
      </c>
      <c r="AI22" s="229" t="str">
        <f t="shared" si="5"/>
        <v/>
      </c>
      <c r="AJ22" s="232" t="str">
        <f t="shared" si="6"/>
        <v/>
      </c>
      <c r="AK22" s="229" t="str">
        <f t="shared" si="13"/>
        <v/>
      </c>
      <c r="AL22" s="232" t="str">
        <f t="shared" si="7"/>
        <v/>
      </c>
      <c r="AM22" s="343"/>
      <c r="AN22" s="239">
        <v>2</v>
      </c>
      <c r="AO22" s="327"/>
      <c r="AP22" s="332"/>
      <c r="AQ22" s="334"/>
      <c r="AR22" s="334"/>
      <c r="AS22" s="334"/>
      <c r="AT22" s="233"/>
      <c r="AU22" s="233"/>
      <c r="AV22" s="233"/>
      <c r="AW22" s="233"/>
      <c r="AX22" s="233"/>
      <c r="AY22" s="233"/>
      <c r="AZ22" s="336"/>
      <c r="BA22" s="242"/>
      <c r="BB22" s="242"/>
      <c r="BC22" s="329"/>
      <c r="BD22" s="236"/>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row>
    <row r="23" spans="4:82" s="183" customFormat="1" ht="58.5" customHeight="1">
      <c r="D23" s="368">
        <v>5</v>
      </c>
      <c r="E23" s="354"/>
      <c r="F23" s="354"/>
      <c r="G23" s="356"/>
      <c r="H23" s="354"/>
      <c r="I23" s="358"/>
      <c r="J23" s="358"/>
      <c r="K23" s="326"/>
      <c r="L23" s="348"/>
      <c r="M23" s="366"/>
      <c r="N23" s="366"/>
      <c r="O23" s="348"/>
      <c r="P23" s="350" t="str">
        <f t="shared" ref="P23:P31" si="17">IF(O23&lt;=0,"",IF(O23&lt;=2,"Muy Baja",IF(O23&lt;=24,"Baja",IF(O23&lt;=500,"Media",IF(O23&lt;=5000,"Alta","Muy Alta")))))</f>
        <v/>
      </c>
      <c r="Q23" s="352" t="str">
        <f t="shared" ref="Q23" si="18">IF(P23="","",IF(P23="Muy Baja",0.2,IF(P23="Baja",0.4,IF(P23="Media",0.6,IF(P23="Alta",0.8,IF(P23="Muy Alta",1,))))))</f>
        <v/>
      </c>
      <c r="R23" s="372"/>
      <c r="S23" s="317" t="str">
        <f>IFERROR(VLOOKUP(R23,Criterios[],2,FALSE),"")</f>
        <v/>
      </c>
      <c r="T23" s="338" t="str">
        <f t="shared" ref="T23" si="19">IF(S23="","",IF(S23="Leve",0.2,IF(S23="Menor",0.4,IF(S23="Moderado",0.6,IF(S23="Mayor",0.8,IF(S23="Catastrófico",1,))))))</f>
        <v/>
      </c>
      <c r="U23" s="317" t="str">
        <f t="shared" ref="U23" si="20">IF(OR(AND(P23="Muy Baja",S23="Leve"),AND(P23="Muy Baja",S23="Menor"),AND(P23="Baja",S23="Leve")),"Bajo",IF(OR(AND(P23="Muy baja",S23="Moderado"),AND(P23="Baja",S23="Menor"),AND(P23="Baja",S23="Moderado"),AND(P23="Media",S23="Leve"),AND(P23="Media",S23="Menor"),AND(P23="Media",S23="Moderado"),AND(P23="Alta",S23="Leve"),AND(P23="Alta",S23="Menor")),"Moderado",IF(OR(AND(P23="Muy Baja",S23="Mayor"),AND(P23="Baja",S23="Mayor"),AND(P23="Media",S23="Mayor"),AND(P23="Alta",S23="Moderado"),AND(P23="Alta",S23="Mayor"),AND(P23="Muy Alta",S23="Leve"),AND(P23="Muy Alta",S23="Menor"),AND(P23="Muy Alta",S23="Moderado"),AND(P23="Muy Alta",S23="Mayor")),"Alto",IF(OR(AND(P23="Muy Baja",S23="Catastrófico"),AND(P23="Baja",S23="Catastrófico"),AND(P23="Media",S23="Catastrófico"),AND(P23="Alta",S23="Catastrófico"),AND(P23="Muy Alta",S23="Catastrófico")),"Extremo",""))))</f>
        <v/>
      </c>
      <c r="V23" s="192">
        <v>1</v>
      </c>
      <c r="W23" s="193"/>
      <c r="X23" s="194"/>
      <c r="Y23" s="227" t="str">
        <f t="shared" si="1"/>
        <v/>
      </c>
      <c r="Z23" s="196"/>
      <c r="AA23" s="196"/>
      <c r="AB23" s="229" t="str">
        <f t="shared" si="2"/>
        <v/>
      </c>
      <c r="AC23" s="196"/>
      <c r="AD23" s="196"/>
      <c r="AE23" s="184"/>
      <c r="AF23" s="215"/>
      <c r="AG23" s="231" t="str">
        <f t="shared" si="3"/>
        <v/>
      </c>
      <c r="AH23" s="232" t="str">
        <f t="shared" si="4"/>
        <v/>
      </c>
      <c r="AI23" s="229" t="str">
        <f t="shared" si="5"/>
        <v/>
      </c>
      <c r="AJ23" s="232" t="str">
        <f t="shared" si="6"/>
        <v/>
      </c>
      <c r="AK23" s="229" t="str">
        <f t="shared" si="13"/>
        <v/>
      </c>
      <c r="AL23" s="232" t="str">
        <f t="shared" si="7"/>
        <v/>
      </c>
      <c r="AM23" s="360" t="s">
        <v>75</v>
      </c>
      <c r="AN23" s="192">
        <v>1</v>
      </c>
      <c r="AO23" s="358"/>
      <c r="AP23" s="362"/>
      <c r="AQ23" s="364"/>
      <c r="AR23" s="333"/>
      <c r="AS23" s="333"/>
      <c r="AT23" s="221"/>
      <c r="AU23" s="221"/>
      <c r="AV23" s="221"/>
      <c r="AW23" s="221"/>
      <c r="AX23" s="221"/>
      <c r="AY23" s="221"/>
      <c r="AZ23" s="336"/>
      <c r="BA23" s="219"/>
      <c r="BB23" s="219"/>
      <c r="BC23" s="329"/>
      <c r="BD23" s="222"/>
      <c r="BE23" s="185"/>
      <c r="BF23" s="185"/>
      <c r="BG23" s="185"/>
      <c r="BH23" s="185"/>
      <c r="BI23" s="185"/>
      <c r="BJ23" s="185"/>
      <c r="BK23" s="185"/>
      <c r="BL23" s="185"/>
      <c r="BM23" s="185"/>
      <c r="BN23" s="185"/>
      <c r="BO23" s="185"/>
      <c r="BP23" s="185"/>
      <c r="BQ23" s="185"/>
      <c r="BR23" s="185"/>
      <c r="BS23" s="185"/>
      <c r="BT23" s="185"/>
      <c r="BU23" s="185"/>
      <c r="BV23" s="185"/>
      <c r="BW23" s="185"/>
      <c r="BX23" s="185"/>
      <c r="BY23" s="185"/>
      <c r="BZ23" s="185"/>
      <c r="CA23" s="185"/>
      <c r="CB23" s="185"/>
      <c r="CC23" s="185"/>
      <c r="CD23" s="185"/>
    </row>
    <row r="24" spans="4:82" s="183" customFormat="1" ht="58.5" customHeight="1">
      <c r="D24" s="369"/>
      <c r="E24" s="355"/>
      <c r="F24" s="355"/>
      <c r="G24" s="357"/>
      <c r="H24" s="355"/>
      <c r="I24" s="359"/>
      <c r="J24" s="359"/>
      <c r="K24" s="327"/>
      <c r="L24" s="349"/>
      <c r="M24" s="367"/>
      <c r="N24" s="367"/>
      <c r="O24" s="349"/>
      <c r="P24" s="351"/>
      <c r="Q24" s="353"/>
      <c r="R24" s="373"/>
      <c r="S24" s="318"/>
      <c r="T24" s="339"/>
      <c r="U24" s="318"/>
      <c r="V24" s="200">
        <v>2</v>
      </c>
      <c r="W24" s="193"/>
      <c r="X24" s="194"/>
      <c r="Y24" s="227" t="str">
        <f t="shared" si="1"/>
        <v/>
      </c>
      <c r="Z24" s="196"/>
      <c r="AA24" s="196"/>
      <c r="AB24" s="229" t="str">
        <f t="shared" si="2"/>
        <v/>
      </c>
      <c r="AC24" s="196"/>
      <c r="AD24" s="196"/>
      <c r="AE24" s="184"/>
      <c r="AF24" s="215"/>
      <c r="AG24" s="231" t="str">
        <f t="shared" si="3"/>
        <v/>
      </c>
      <c r="AH24" s="232" t="str">
        <f t="shared" si="4"/>
        <v/>
      </c>
      <c r="AI24" s="229" t="str">
        <f t="shared" si="5"/>
        <v/>
      </c>
      <c r="AJ24" s="232" t="str">
        <f t="shared" si="6"/>
        <v/>
      </c>
      <c r="AK24" s="229" t="str">
        <f t="shared" si="13"/>
        <v/>
      </c>
      <c r="AL24" s="232" t="str">
        <f t="shared" si="7"/>
        <v/>
      </c>
      <c r="AM24" s="361"/>
      <c r="AN24" s="200">
        <v>2</v>
      </c>
      <c r="AO24" s="359"/>
      <c r="AP24" s="363"/>
      <c r="AQ24" s="365"/>
      <c r="AR24" s="334"/>
      <c r="AS24" s="334"/>
      <c r="AT24" s="221"/>
      <c r="AU24" s="221"/>
      <c r="AV24" s="221"/>
      <c r="AW24" s="221"/>
      <c r="AX24" s="221"/>
      <c r="AY24" s="221"/>
      <c r="AZ24" s="336"/>
      <c r="BA24" s="219"/>
      <c r="BB24" s="219"/>
      <c r="BC24" s="329"/>
      <c r="BD24" s="222"/>
      <c r="BE24" s="185"/>
      <c r="BF24" s="185"/>
      <c r="BG24" s="185"/>
      <c r="BH24" s="185"/>
      <c r="BI24" s="185"/>
      <c r="BJ24" s="185"/>
      <c r="BK24" s="185"/>
      <c r="BL24" s="185"/>
      <c r="BM24" s="185"/>
      <c r="BN24" s="185"/>
      <c r="BO24" s="185"/>
      <c r="BP24" s="185"/>
      <c r="BQ24" s="185"/>
      <c r="BR24" s="185"/>
      <c r="BS24" s="185"/>
      <c r="BT24" s="185"/>
      <c r="BU24" s="185"/>
      <c r="BV24" s="185"/>
      <c r="BW24" s="185"/>
      <c r="BX24" s="185"/>
      <c r="BY24" s="185"/>
      <c r="BZ24" s="185"/>
      <c r="CA24" s="185"/>
      <c r="CB24" s="185"/>
      <c r="CC24" s="185"/>
      <c r="CD24" s="185"/>
    </row>
    <row r="25" spans="4:82" s="183" customFormat="1" ht="39.75" customHeight="1">
      <c r="D25" s="370">
        <v>6</v>
      </c>
      <c r="E25" s="354"/>
      <c r="F25" s="354"/>
      <c r="G25" s="356"/>
      <c r="H25" s="354"/>
      <c r="I25" s="358"/>
      <c r="J25" s="358"/>
      <c r="K25" s="358"/>
      <c r="L25" s="348"/>
      <c r="M25" s="366"/>
      <c r="N25" s="366"/>
      <c r="O25" s="348"/>
      <c r="P25" s="350" t="str">
        <f t="shared" si="17"/>
        <v/>
      </c>
      <c r="Q25" s="352" t="str">
        <f t="shared" ref="Q25" si="21">IF(P25="","",IF(P25="Muy Baja",0.2,IF(P25="Baja",0.4,IF(P25="Media",0.6,IF(P25="Alta",0.8,IF(P25="Muy Alta",1,))))))</f>
        <v/>
      </c>
      <c r="R25" s="372"/>
      <c r="S25" s="317" t="str">
        <f>IFERROR(VLOOKUP(R25,Criterios[],2,FALSE),"")</f>
        <v/>
      </c>
      <c r="T25" s="338" t="str">
        <f t="shared" ref="T25" si="22">IF(S25="","",IF(S25="Leve",0.2,IF(S25="Menor",0.4,IF(S25="Moderado",0.6,IF(S25="Mayor",0.8,IF(S25="Catastrófico",1,))))))</f>
        <v/>
      </c>
      <c r="U25" s="317" t="str">
        <f t="shared" ref="U25" si="23">IF(OR(AND(P25="Muy Baja",S25="Leve"),AND(P25="Muy Baja",S25="Menor"),AND(P25="Baja",S25="Leve")),"Bajo",IF(OR(AND(P25="Muy baja",S25="Moderado"),AND(P25="Baja",S25="Menor"),AND(P25="Baja",S25="Moderado"),AND(P25="Media",S25="Leve"),AND(P25="Media",S25="Menor"),AND(P25="Media",S25="Moderado"),AND(P25="Alta",S25="Leve"),AND(P25="Alta",S25="Menor")),"Moderado",IF(OR(AND(P25="Muy Baja",S25="Mayor"),AND(P25="Baja",S25="Mayor"),AND(P25="Media",S25="Mayor"),AND(P25="Alta",S25="Moderado"),AND(P25="Alta",S25="Mayor"),AND(P25="Muy Alta",S25="Leve"),AND(P25="Muy Alta",S25="Menor"),AND(P25="Muy Alta",S25="Moderado"),AND(P25="Muy Alta",S25="Mayor")),"Alto",IF(OR(AND(P25="Muy Baja",S25="Catastrófico"),AND(P25="Baja",S25="Catastrófico"),AND(P25="Media",S25="Catastrófico"),AND(P25="Alta",S25="Catastrófico"),AND(P25="Muy Alta",S25="Catastrófico")),"Extremo",""))))</f>
        <v/>
      </c>
      <c r="V25" s="192">
        <v>1</v>
      </c>
      <c r="W25" s="193"/>
      <c r="X25" s="194"/>
      <c r="Y25" s="227" t="str">
        <f t="shared" si="1"/>
        <v/>
      </c>
      <c r="Z25" s="196"/>
      <c r="AA25" s="196"/>
      <c r="AB25" s="229" t="str">
        <f t="shared" si="2"/>
        <v/>
      </c>
      <c r="AC25" s="196"/>
      <c r="AD25" s="196"/>
      <c r="AE25" s="184"/>
      <c r="AF25" s="215"/>
      <c r="AG25" s="231" t="str">
        <f t="shared" si="3"/>
        <v/>
      </c>
      <c r="AH25" s="232" t="str">
        <f t="shared" si="4"/>
        <v/>
      </c>
      <c r="AI25" s="229" t="str">
        <f t="shared" si="5"/>
        <v/>
      </c>
      <c r="AJ25" s="232" t="str">
        <f t="shared" si="6"/>
        <v/>
      </c>
      <c r="AK25" s="229" t="str">
        <f t="shared" si="13"/>
        <v/>
      </c>
      <c r="AL25" s="232" t="str">
        <f t="shared" si="7"/>
        <v/>
      </c>
      <c r="AM25" s="360" t="s">
        <v>75</v>
      </c>
      <c r="AN25" s="192">
        <v>1</v>
      </c>
      <c r="AO25" s="358"/>
      <c r="AP25" s="362"/>
      <c r="AQ25" s="364"/>
      <c r="AR25" s="333"/>
      <c r="AS25" s="333"/>
      <c r="AT25" s="221"/>
      <c r="AU25" s="221"/>
      <c r="AV25" s="221"/>
      <c r="AW25" s="221"/>
      <c r="AX25" s="221"/>
      <c r="AY25" s="221"/>
      <c r="AZ25" s="336"/>
      <c r="BA25" s="219"/>
      <c r="BB25" s="219"/>
      <c r="BC25" s="329"/>
      <c r="BD25" s="222"/>
      <c r="BE25" s="185"/>
      <c r="BF25" s="185"/>
      <c r="BG25" s="185"/>
      <c r="BH25" s="185"/>
      <c r="BI25" s="185"/>
      <c r="BJ25" s="185"/>
      <c r="BK25" s="185"/>
      <c r="BL25" s="185"/>
      <c r="BM25" s="185"/>
      <c r="BN25" s="185"/>
      <c r="BO25" s="185"/>
      <c r="BP25" s="185"/>
      <c r="BQ25" s="185"/>
      <c r="BR25" s="185"/>
      <c r="BS25" s="185"/>
      <c r="BT25" s="185"/>
      <c r="BU25" s="185"/>
      <c r="BV25" s="185"/>
      <c r="BW25" s="185"/>
      <c r="BX25" s="185"/>
      <c r="BY25" s="185"/>
      <c r="BZ25" s="185"/>
      <c r="CA25" s="185"/>
      <c r="CB25" s="185"/>
      <c r="CC25" s="185"/>
      <c r="CD25" s="185"/>
    </row>
    <row r="26" spans="4:82" s="183" customFormat="1" ht="39.75" customHeight="1">
      <c r="D26" s="371"/>
      <c r="E26" s="355"/>
      <c r="F26" s="355"/>
      <c r="G26" s="357"/>
      <c r="H26" s="355"/>
      <c r="I26" s="359"/>
      <c r="J26" s="359"/>
      <c r="K26" s="359"/>
      <c r="L26" s="349"/>
      <c r="M26" s="367"/>
      <c r="N26" s="367"/>
      <c r="O26" s="349"/>
      <c r="P26" s="351"/>
      <c r="Q26" s="353"/>
      <c r="R26" s="373"/>
      <c r="S26" s="318"/>
      <c r="T26" s="339"/>
      <c r="U26" s="318"/>
      <c r="V26" s="200">
        <v>2</v>
      </c>
      <c r="W26" s="193"/>
      <c r="X26" s="194"/>
      <c r="Y26" s="227" t="str">
        <f t="shared" si="1"/>
        <v/>
      </c>
      <c r="Z26" s="196"/>
      <c r="AA26" s="196"/>
      <c r="AB26" s="229" t="str">
        <f t="shared" si="2"/>
        <v/>
      </c>
      <c r="AC26" s="196"/>
      <c r="AD26" s="196"/>
      <c r="AE26" s="184"/>
      <c r="AF26" s="215"/>
      <c r="AG26" s="231" t="str">
        <f t="shared" si="3"/>
        <v/>
      </c>
      <c r="AH26" s="232" t="str">
        <f t="shared" si="4"/>
        <v/>
      </c>
      <c r="AI26" s="229" t="str">
        <f t="shared" si="5"/>
        <v/>
      </c>
      <c r="AJ26" s="232" t="str">
        <f t="shared" si="6"/>
        <v/>
      </c>
      <c r="AK26" s="229" t="str">
        <f t="shared" si="13"/>
        <v/>
      </c>
      <c r="AL26" s="232" t="str">
        <f t="shared" si="7"/>
        <v/>
      </c>
      <c r="AM26" s="361"/>
      <c r="AN26" s="200">
        <v>2</v>
      </c>
      <c r="AO26" s="359"/>
      <c r="AP26" s="363"/>
      <c r="AQ26" s="365"/>
      <c r="AR26" s="334"/>
      <c r="AS26" s="334"/>
      <c r="AT26" s="221"/>
      <c r="AU26" s="221"/>
      <c r="AV26" s="221"/>
      <c r="AW26" s="221"/>
      <c r="AX26" s="221"/>
      <c r="AY26" s="221"/>
      <c r="AZ26" s="336"/>
      <c r="BA26" s="219"/>
      <c r="BB26" s="219"/>
      <c r="BC26" s="329"/>
      <c r="BD26" s="222"/>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c r="CA26" s="185"/>
      <c r="CB26" s="185"/>
      <c r="CC26" s="185"/>
      <c r="CD26" s="185"/>
    </row>
    <row r="27" spans="4:82" s="183" customFormat="1" ht="39.75" customHeight="1">
      <c r="D27" s="370">
        <v>7</v>
      </c>
      <c r="E27" s="354"/>
      <c r="F27" s="354"/>
      <c r="G27" s="356"/>
      <c r="H27" s="354"/>
      <c r="I27" s="358"/>
      <c r="J27" s="358"/>
      <c r="K27" s="358"/>
      <c r="L27" s="348"/>
      <c r="M27" s="366"/>
      <c r="N27" s="366"/>
      <c r="O27" s="348"/>
      <c r="P27" s="350" t="str">
        <f t="shared" si="17"/>
        <v/>
      </c>
      <c r="Q27" s="352" t="str">
        <f t="shared" ref="Q27" si="24">IF(P27="","",IF(P27="Muy Baja",0.2,IF(P27="Baja",0.4,IF(P27="Media",0.6,IF(P27="Alta",0.8,IF(P27="Muy Alta",1,))))))</f>
        <v/>
      </c>
      <c r="R27" s="372"/>
      <c r="S27" s="317" t="str">
        <f>IFERROR(VLOOKUP(R27,Criterios[],2,FALSE),"")</f>
        <v/>
      </c>
      <c r="T27" s="338" t="str">
        <f t="shared" ref="T27" si="25">IF(S27="","",IF(S27="Leve",0.2,IF(S27="Menor",0.4,IF(S27="Moderado",0.6,IF(S27="Mayor",0.8,IF(S27="Catastrófico",1,))))))</f>
        <v/>
      </c>
      <c r="U27" s="317" t="str">
        <f t="shared" ref="U27" si="26">IF(OR(AND(P27="Muy Baja",S27="Leve"),AND(P27="Muy Baja",S27="Menor"),AND(P27="Baja",S27="Leve")),"Bajo",IF(OR(AND(P27="Muy baja",S27="Moderado"),AND(P27="Baja",S27="Menor"),AND(P27="Baja",S27="Moderado"),AND(P27="Media",S27="Leve"),AND(P27="Media",S27="Menor"),AND(P27="Media",S27="Moderado"),AND(P27="Alta",S27="Leve"),AND(P27="Alta",S27="Menor")),"Moderado",IF(OR(AND(P27="Muy Baja",S27="Mayor"),AND(P27="Baja",S27="Mayor"),AND(P27="Media",S27="Mayor"),AND(P27="Alta",S27="Moderado"),AND(P27="Alta",S27="Mayor"),AND(P27="Muy Alta",S27="Leve"),AND(P27="Muy Alta",S27="Menor"),AND(P27="Muy Alta",S27="Moderado"),AND(P27="Muy Alta",S27="Mayor")),"Alto",IF(OR(AND(P27="Muy Baja",S27="Catastrófico"),AND(P27="Baja",S27="Catastrófico"),AND(P27="Media",S27="Catastrófico"),AND(P27="Alta",S27="Catastrófico"),AND(P27="Muy Alta",S27="Catastrófico")),"Extremo",""))))</f>
        <v/>
      </c>
      <c r="V27" s="192">
        <v>1</v>
      </c>
      <c r="W27" s="193"/>
      <c r="X27" s="194"/>
      <c r="Y27" s="227" t="str">
        <f t="shared" si="1"/>
        <v/>
      </c>
      <c r="Z27" s="196"/>
      <c r="AA27" s="196"/>
      <c r="AB27" s="229" t="str">
        <f t="shared" si="2"/>
        <v/>
      </c>
      <c r="AC27" s="196"/>
      <c r="AD27" s="196"/>
      <c r="AE27" s="184"/>
      <c r="AF27" s="215"/>
      <c r="AG27" s="231" t="str">
        <f t="shared" si="3"/>
        <v/>
      </c>
      <c r="AH27" s="232" t="str">
        <f t="shared" si="4"/>
        <v/>
      </c>
      <c r="AI27" s="229" t="str">
        <f t="shared" si="5"/>
        <v/>
      </c>
      <c r="AJ27" s="232" t="str">
        <f t="shared" si="6"/>
        <v/>
      </c>
      <c r="AK27" s="229" t="str">
        <f t="shared" si="13"/>
        <v/>
      </c>
      <c r="AL27" s="232" t="str">
        <f t="shared" si="7"/>
        <v/>
      </c>
      <c r="AM27" s="360" t="s">
        <v>75</v>
      </c>
      <c r="AN27" s="192">
        <v>1</v>
      </c>
      <c r="AO27" s="358"/>
      <c r="AP27" s="362"/>
      <c r="AQ27" s="364"/>
      <c r="AR27" s="333"/>
      <c r="AS27" s="364"/>
      <c r="AT27" s="221"/>
      <c r="AU27" s="221"/>
      <c r="AV27" s="221"/>
      <c r="AW27" s="221"/>
      <c r="AX27" s="221"/>
      <c r="AY27" s="221"/>
      <c r="AZ27" s="336"/>
      <c r="BA27" s="219"/>
      <c r="BB27" s="219"/>
      <c r="BC27" s="329"/>
      <c r="BD27" s="222"/>
      <c r="BE27" s="185"/>
      <c r="BF27" s="185"/>
      <c r="BG27" s="185"/>
      <c r="BH27" s="185"/>
      <c r="BI27" s="185"/>
      <c r="BJ27" s="185"/>
      <c r="BK27" s="185"/>
      <c r="BL27" s="185"/>
      <c r="BM27" s="185"/>
      <c r="BN27" s="185"/>
      <c r="BO27" s="185"/>
      <c r="BP27" s="185"/>
      <c r="BQ27" s="185"/>
      <c r="BR27" s="185"/>
      <c r="BS27" s="185"/>
      <c r="BT27" s="185"/>
      <c r="BU27" s="185"/>
      <c r="BV27" s="185"/>
      <c r="BW27" s="185"/>
      <c r="BX27" s="185"/>
      <c r="BY27" s="185"/>
      <c r="BZ27" s="185"/>
      <c r="CA27" s="185"/>
      <c r="CB27" s="185"/>
      <c r="CC27" s="185"/>
      <c r="CD27" s="185"/>
    </row>
    <row r="28" spans="4:82" s="183" customFormat="1" ht="39.75" customHeight="1">
      <c r="D28" s="371"/>
      <c r="E28" s="355"/>
      <c r="F28" s="355"/>
      <c r="G28" s="357"/>
      <c r="H28" s="355"/>
      <c r="I28" s="359"/>
      <c r="J28" s="359"/>
      <c r="K28" s="359"/>
      <c r="L28" s="349"/>
      <c r="M28" s="367"/>
      <c r="N28" s="367"/>
      <c r="O28" s="349"/>
      <c r="P28" s="351"/>
      <c r="Q28" s="353"/>
      <c r="R28" s="373"/>
      <c r="S28" s="318"/>
      <c r="T28" s="339"/>
      <c r="U28" s="318"/>
      <c r="V28" s="200">
        <v>2</v>
      </c>
      <c r="W28" s="193"/>
      <c r="X28" s="194"/>
      <c r="Y28" s="227" t="str">
        <f t="shared" si="1"/>
        <v/>
      </c>
      <c r="Z28" s="196"/>
      <c r="AA28" s="196"/>
      <c r="AB28" s="229" t="str">
        <f t="shared" si="2"/>
        <v/>
      </c>
      <c r="AC28" s="196"/>
      <c r="AD28" s="196"/>
      <c r="AE28" s="184"/>
      <c r="AF28" s="215"/>
      <c r="AG28" s="231" t="str">
        <f t="shared" si="3"/>
        <v/>
      </c>
      <c r="AH28" s="232" t="str">
        <f t="shared" si="4"/>
        <v/>
      </c>
      <c r="AI28" s="229" t="str">
        <f t="shared" si="5"/>
        <v/>
      </c>
      <c r="AJ28" s="232" t="str">
        <f t="shared" si="6"/>
        <v/>
      </c>
      <c r="AK28" s="229" t="str">
        <f t="shared" si="13"/>
        <v/>
      </c>
      <c r="AL28" s="232" t="str">
        <f t="shared" si="7"/>
        <v/>
      </c>
      <c r="AM28" s="361"/>
      <c r="AN28" s="200">
        <v>2</v>
      </c>
      <c r="AO28" s="359"/>
      <c r="AP28" s="363"/>
      <c r="AQ28" s="365"/>
      <c r="AR28" s="334"/>
      <c r="AS28" s="365"/>
      <c r="AT28" s="221"/>
      <c r="AU28" s="221"/>
      <c r="AV28" s="221"/>
      <c r="AW28" s="221"/>
      <c r="AX28" s="221"/>
      <c r="AY28" s="221"/>
      <c r="AZ28" s="336"/>
      <c r="BA28" s="219"/>
      <c r="BB28" s="219"/>
      <c r="BC28" s="329"/>
      <c r="BD28" s="222"/>
      <c r="BE28" s="185"/>
      <c r="BF28" s="185"/>
      <c r="BG28" s="185"/>
      <c r="BH28" s="185"/>
      <c r="BI28" s="185"/>
      <c r="BJ28" s="185"/>
      <c r="BK28" s="185"/>
      <c r="BL28" s="185"/>
      <c r="BM28" s="185"/>
      <c r="BN28" s="185"/>
      <c r="BO28" s="185"/>
      <c r="BP28" s="185"/>
      <c r="BQ28" s="185"/>
      <c r="BR28" s="185"/>
      <c r="BS28" s="185"/>
      <c r="BT28" s="185"/>
      <c r="BU28" s="185"/>
      <c r="BV28" s="185"/>
      <c r="BW28" s="185"/>
      <c r="BX28" s="185"/>
      <c r="BY28" s="185"/>
      <c r="BZ28" s="185"/>
      <c r="CA28" s="185"/>
      <c r="CB28" s="185"/>
      <c r="CC28" s="185"/>
      <c r="CD28" s="185"/>
    </row>
    <row r="29" spans="4:82" s="183" customFormat="1" ht="39.75" customHeight="1">
      <c r="D29" s="374">
        <v>8</v>
      </c>
      <c r="E29" s="354"/>
      <c r="F29" s="354"/>
      <c r="G29" s="356"/>
      <c r="H29" s="354"/>
      <c r="I29" s="358"/>
      <c r="J29" s="358"/>
      <c r="K29" s="358"/>
      <c r="L29" s="348"/>
      <c r="M29" s="366"/>
      <c r="N29" s="366"/>
      <c r="O29" s="348"/>
      <c r="P29" s="350" t="str">
        <f t="shared" si="17"/>
        <v/>
      </c>
      <c r="Q29" s="352" t="str">
        <f t="shared" ref="Q29" si="27">IF(P29="","",IF(P29="Muy Baja",0.2,IF(P29="Baja",0.4,IF(P29="Media",0.6,IF(P29="Alta",0.8,IF(P29="Muy Alta",1,))))))</f>
        <v/>
      </c>
      <c r="R29" s="372"/>
      <c r="S29" s="317" t="str">
        <f>IFERROR(VLOOKUP(R29,Criterios[],2,FALSE),"")</f>
        <v/>
      </c>
      <c r="T29" s="338" t="str">
        <f t="shared" ref="T29" si="28">IF(S29="","",IF(S29="Leve",0.2,IF(S29="Menor",0.4,IF(S29="Moderado",0.6,IF(S29="Mayor",0.8,IF(S29="Catastrófico",1,))))))</f>
        <v/>
      </c>
      <c r="U29" s="317" t="str">
        <f t="shared" ref="U29" si="29">IF(OR(AND(P29="Muy Baja",S29="Leve"),AND(P29="Muy Baja",S29="Menor"),AND(P29="Baja",S29="Leve")),"Bajo",IF(OR(AND(P29="Muy baja",S29="Moderado"),AND(P29="Baja",S29="Menor"),AND(P29="Baja",S29="Moderado"),AND(P29="Media",S29="Leve"),AND(P29="Media",S29="Menor"),AND(P29="Media",S29="Moderado"),AND(P29="Alta",S29="Leve"),AND(P29="Alta",S29="Menor")),"Moderado",IF(OR(AND(P29="Muy Baja",S29="Mayor"),AND(P29="Baja",S29="Mayor"),AND(P29="Media",S29="Mayor"),AND(P29="Alta",S29="Moderado"),AND(P29="Alta",S29="Mayor"),AND(P29="Muy Alta",S29="Leve"),AND(P29="Muy Alta",S29="Menor"),AND(P29="Muy Alta",S29="Moderado"),AND(P29="Muy Alta",S29="Mayor")),"Alto",IF(OR(AND(P29="Muy Baja",S29="Catastrófico"),AND(P29="Baja",S29="Catastrófico"),AND(P29="Media",S29="Catastrófico"),AND(P29="Alta",S29="Catastrófico"),AND(P29="Muy Alta",S29="Catastrófico")),"Extremo",""))))</f>
        <v/>
      </c>
      <c r="V29" s="192">
        <v>1</v>
      </c>
      <c r="W29" s="193"/>
      <c r="X29" s="194"/>
      <c r="Y29" s="227" t="str">
        <f t="shared" si="1"/>
        <v/>
      </c>
      <c r="Z29" s="196"/>
      <c r="AA29" s="196"/>
      <c r="AB29" s="229" t="str">
        <f t="shared" si="2"/>
        <v/>
      </c>
      <c r="AC29" s="196"/>
      <c r="AD29" s="196"/>
      <c r="AE29" s="184"/>
      <c r="AF29" s="215"/>
      <c r="AG29" s="231" t="str">
        <f t="shared" si="3"/>
        <v/>
      </c>
      <c r="AH29" s="232" t="str">
        <f t="shared" si="4"/>
        <v/>
      </c>
      <c r="AI29" s="229" t="str">
        <f t="shared" si="5"/>
        <v/>
      </c>
      <c r="AJ29" s="232" t="str">
        <f t="shared" si="6"/>
        <v/>
      </c>
      <c r="AK29" s="229" t="str">
        <f t="shared" si="13"/>
        <v/>
      </c>
      <c r="AL29" s="232" t="str">
        <f t="shared" si="7"/>
        <v/>
      </c>
      <c r="AM29" s="360" t="s">
        <v>75</v>
      </c>
      <c r="AN29" s="192">
        <v>1</v>
      </c>
      <c r="AO29" s="358"/>
      <c r="AP29" s="362"/>
      <c r="AQ29" s="364"/>
      <c r="AR29" s="333"/>
      <c r="AS29" s="364"/>
      <c r="AT29" s="221"/>
      <c r="AU29" s="221"/>
      <c r="AV29" s="221"/>
      <c r="AW29" s="221"/>
      <c r="AX29" s="221"/>
      <c r="AY29" s="221"/>
      <c r="AZ29" s="336"/>
      <c r="BA29" s="219"/>
      <c r="BB29" s="219"/>
      <c r="BC29" s="329"/>
      <c r="BD29" s="222"/>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row>
    <row r="30" spans="4:82" s="183" customFormat="1" ht="39.75" customHeight="1">
      <c r="D30" s="375"/>
      <c r="E30" s="355"/>
      <c r="F30" s="355"/>
      <c r="G30" s="357"/>
      <c r="H30" s="355"/>
      <c r="I30" s="359"/>
      <c r="J30" s="359"/>
      <c r="K30" s="359"/>
      <c r="L30" s="349"/>
      <c r="M30" s="367"/>
      <c r="N30" s="367"/>
      <c r="O30" s="349"/>
      <c r="P30" s="351"/>
      <c r="Q30" s="353"/>
      <c r="R30" s="373"/>
      <c r="S30" s="318"/>
      <c r="T30" s="339"/>
      <c r="U30" s="318"/>
      <c r="V30" s="200">
        <v>2</v>
      </c>
      <c r="W30" s="193"/>
      <c r="X30" s="194"/>
      <c r="Y30" s="227" t="str">
        <f t="shared" si="1"/>
        <v/>
      </c>
      <c r="Z30" s="196"/>
      <c r="AA30" s="196"/>
      <c r="AB30" s="229" t="str">
        <f t="shared" si="2"/>
        <v/>
      </c>
      <c r="AC30" s="196"/>
      <c r="AD30" s="196"/>
      <c r="AE30" s="184"/>
      <c r="AF30" s="215"/>
      <c r="AG30" s="231" t="str">
        <f t="shared" si="3"/>
        <v/>
      </c>
      <c r="AH30" s="232" t="str">
        <f t="shared" si="4"/>
        <v/>
      </c>
      <c r="AI30" s="229" t="str">
        <f t="shared" si="5"/>
        <v/>
      </c>
      <c r="AJ30" s="232" t="str">
        <f t="shared" si="6"/>
        <v/>
      </c>
      <c r="AK30" s="229" t="str">
        <f t="shared" si="13"/>
        <v/>
      </c>
      <c r="AL30" s="232" t="str">
        <f t="shared" si="7"/>
        <v/>
      </c>
      <c r="AM30" s="361"/>
      <c r="AN30" s="200">
        <v>2</v>
      </c>
      <c r="AO30" s="359"/>
      <c r="AP30" s="363"/>
      <c r="AQ30" s="365"/>
      <c r="AR30" s="334"/>
      <c r="AS30" s="365"/>
      <c r="AT30" s="221"/>
      <c r="AU30" s="221"/>
      <c r="AV30" s="221"/>
      <c r="AW30" s="221"/>
      <c r="AX30" s="221"/>
      <c r="AY30" s="221"/>
      <c r="AZ30" s="336"/>
      <c r="BA30" s="219"/>
      <c r="BB30" s="219"/>
      <c r="BC30" s="329"/>
      <c r="BD30" s="222"/>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row>
    <row r="31" spans="4:82" s="183" customFormat="1" ht="39.75" customHeight="1">
      <c r="D31" s="368">
        <v>9</v>
      </c>
      <c r="E31" s="354"/>
      <c r="F31" s="354"/>
      <c r="G31" s="356"/>
      <c r="H31" s="354"/>
      <c r="I31" s="358"/>
      <c r="J31" s="358"/>
      <c r="K31" s="358"/>
      <c r="L31" s="348"/>
      <c r="M31" s="366"/>
      <c r="N31" s="366"/>
      <c r="O31" s="348"/>
      <c r="P31" s="350" t="str">
        <f t="shared" si="17"/>
        <v/>
      </c>
      <c r="Q31" s="352" t="str">
        <f t="shared" ref="Q31" si="30">IF(P31="","",IF(P31="Muy Baja",0.2,IF(P31="Baja",0.4,IF(P31="Media",0.6,IF(P31="Alta",0.8,IF(P31="Muy Alta",1,))))))</f>
        <v/>
      </c>
      <c r="R31" s="372"/>
      <c r="S31" s="317" t="str">
        <f>IFERROR(VLOOKUP(R31,Criterios[],2,FALSE),"")</f>
        <v/>
      </c>
      <c r="T31" s="338" t="str">
        <f t="shared" ref="T31" si="31">IF(S31="","",IF(S31="Leve",0.2,IF(S31="Menor",0.4,IF(S31="Moderado",0.6,IF(S31="Mayor",0.8,IF(S31="Catastrófico",1,))))))</f>
        <v/>
      </c>
      <c r="U31" s="317" t="str">
        <f t="shared" ref="U31" si="32">IF(OR(AND(P31="Muy Baja",S31="Leve"),AND(P31="Muy Baja",S31="Menor"),AND(P31="Baja",S31="Leve")),"Bajo",IF(OR(AND(P31="Muy baja",S31="Moderado"),AND(P31="Baja",S31="Menor"),AND(P31="Baja",S31="Moderado"),AND(P31="Media",S31="Leve"),AND(P31="Media",S31="Menor"),AND(P31="Media",S31="Moderado"),AND(P31="Alta",S31="Leve"),AND(P31="Alta",S31="Menor")),"Moderado",IF(OR(AND(P31="Muy Baja",S31="Mayor"),AND(P31="Baja",S31="Mayor"),AND(P31="Media",S31="Mayor"),AND(P31="Alta",S31="Moderado"),AND(P31="Alta",S31="Mayor"),AND(P31="Muy Alta",S31="Leve"),AND(P31="Muy Alta",S31="Menor"),AND(P31="Muy Alta",S31="Moderado"),AND(P31="Muy Alta",S31="Mayor")),"Alto",IF(OR(AND(P31="Muy Baja",S31="Catastrófico"),AND(P31="Baja",S31="Catastrófico"),AND(P31="Media",S31="Catastrófico"),AND(P31="Alta",S31="Catastrófico"),AND(P31="Muy Alta",S31="Catastrófico")),"Extremo",""))))</f>
        <v/>
      </c>
      <c r="V31" s="192">
        <v>1</v>
      </c>
      <c r="W31" s="193"/>
      <c r="X31" s="194"/>
      <c r="Y31" s="227" t="str">
        <f t="shared" si="1"/>
        <v/>
      </c>
      <c r="Z31" s="196"/>
      <c r="AA31" s="196"/>
      <c r="AB31" s="229" t="str">
        <f t="shared" si="2"/>
        <v/>
      </c>
      <c r="AC31" s="196"/>
      <c r="AD31" s="196"/>
      <c r="AE31" s="184"/>
      <c r="AF31" s="215"/>
      <c r="AG31" s="231" t="str">
        <f t="shared" si="3"/>
        <v/>
      </c>
      <c r="AH31" s="232" t="str">
        <f t="shared" si="4"/>
        <v/>
      </c>
      <c r="AI31" s="229" t="str">
        <f t="shared" si="5"/>
        <v/>
      </c>
      <c r="AJ31" s="232" t="str">
        <f t="shared" si="6"/>
        <v/>
      </c>
      <c r="AK31" s="229" t="str">
        <f t="shared" si="13"/>
        <v/>
      </c>
      <c r="AL31" s="232" t="str">
        <f t="shared" si="7"/>
        <v/>
      </c>
      <c r="AM31" s="360" t="s">
        <v>75</v>
      </c>
      <c r="AN31" s="192">
        <v>1</v>
      </c>
      <c r="AO31" s="358"/>
      <c r="AP31" s="362"/>
      <c r="AQ31" s="364"/>
      <c r="AR31" s="333"/>
      <c r="AS31" s="364"/>
      <c r="AT31" s="221"/>
      <c r="AU31" s="221"/>
      <c r="AV31" s="221"/>
      <c r="AW31" s="221"/>
      <c r="AX31" s="221"/>
      <c r="AY31" s="221"/>
      <c r="AZ31" s="336"/>
      <c r="BA31" s="219"/>
      <c r="BB31" s="219"/>
      <c r="BC31" s="329"/>
      <c r="BD31" s="222"/>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row>
    <row r="32" spans="4:82" s="183" customFormat="1" ht="39.75" customHeight="1">
      <c r="D32" s="369"/>
      <c r="E32" s="355"/>
      <c r="F32" s="355"/>
      <c r="G32" s="357"/>
      <c r="H32" s="355"/>
      <c r="I32" s="359"/>
      <c r="J32" s="359"/>
      <c r="K32" s="359"/>
      <c r="L32" s="349"/>
      <c r="M32" s="367"/>
      <c r="N32" s="367"/>
      <c r="O32" s="349"/>
      <c r="P32" s="351"/>
      <c r="Q32" s="353"/>
      <c r="R32" s="373"/>
      <c r="S32" s="318"/>
      <c r="T32" s="339"/>
      <c r="U32" s="318"/>
      <c r="V32" s="200">
        <v>2</v>
      </c>
      <c r="W32" s="193"/>
      <c r="X32" s="194"/>
      <c r="Y32" s="227" t="str">
        <f t="shared" si="1"/>
        <v/>
      </c>
      <c r="Z32" s="196"/>
      <c r="AA32" s="196"/>
      <c r="AB32" s="229" t="str">
        <f t="shared" si="2"/>
        <v/>
      </c>
      <c r="AC32" s="196"/>
      <c r="AD32" s="196"/>
      <c r="AE32" s="184"/>
      <c r="AF32" s="217"/>
      <c r="AG32" s="231" t="str">
        <f t="shared" si="3"/>
        <v/>
      </c>
      <c r="AH32" s="232" t="str">
        <f t="shared" si="4"/>
        <v/>
      </c>
      <c r="AI32" s="229"/>
      <c r="AJ32" s="232" t="str">
        <f t="shared" si="6"/>
        <v/>
      </c>
      <c r="AK32" s="229" t="str">
        <f t="shared" si="13"/>
        <v/>
      </c>
      <c r="AL32" s="232" t="str">
        <f t="shared" si="7"/>
        <v/>
      </c>
      <c r="AM32" s="361"/>
      <c r="AN32" s="200">
        <v>2</v>
      </c>
      <c r="AO32" s="359"/>
      <c r="AP32" s="363"/>
      <c r="AQ32" s="365"/>
      <c r="AR32" s="334"/>
      <c r="AS32" s="365"/>
      <c r="AT32" s="221"/>
      <c r="AU32" s="221"/>
      <c r="AV32" s="221"/>
      <c r="AW32" s="221"/>
      <c r="AX32" s="221"/>
      <c r="AY32" s="221"/>
      <c r="AZ32" s="337"/>
      <c r="BA32" s="219"/>
      <c r="BB32" s="219"/>
      <c r="BC32" s="330"/>
      <c r="BD32" s="222"/>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row>
    <row r="33" spans="4:60" ht="49.5" customHeight="1">
      <c r="D33" s="186"/>
      <c r="E33" s="187"/>
      <c r="F33" s="187"/>
      <c r="G33" s="187"/>
      <c r="H33" s="187"/>
      <c r="I33" s="384" t="s">
        <v>76</v>
      </c>
      <c r="J33" s="384"/>
      <c r="K33" s="384"/>
      <c r="L33" s="384"/>
      <c r="M33" s="384"/>
      <c r="N33" s="384"/>
      <c r="O33" s="384"/>
      <c r="P33" s="384"/>
      <c r="Q33" s="384"/>
      <c r="R33" s="384"/>
      <c r="S33" s="384"/>
      <c r="T33" s="384"/>
      <c r="U33" s="384"/>
      <c r="V33" s="384"/>
      <c r="W33" s="384"/>
      <c r="X33" s="384"/>
      <c r="Y33" s="384"/>
      <c r="Z33" s="384"/>
      <c r="AA33" s="384"/>
      <c r="AB33" s="384"/>
      <c r="AC33" s="384"/>
      <c r="AD33" s="384"/>
      <c r="AE33" s="384"/>
      <c r="AF33" s="384"/>
      <c r="AG33" s="384"/>
      <c r="AH33" s="384"/>
      <c r="AI33" s="384"/>
      <c r="AJ33" s="384"/>
      <c r="AK33" s="384"/>
      <c r="AL33" s="384"/>
      <c r="AM33" s="384"/>
      <c r="AN33" s="384"/>
      <c r="AO33" s="384"/>
      <c r="AP33" s="384"/>
      <c r="AQ33" s="384"/>
      <c r="AR33" s="384"/>
      <c r="AS33" s="384"/>
      <c r="AT33" s="384"/>
      <c r="AU33" s="384"/>
      <c r="AV33" s="384"/>
      <c r="AW33" s="384"/>
      <c r="AX33" s="384"/>
      <c r="AY33" s="384"/>
    </row>
    <row r="35" spans="4:60" ht="15.75">
      <c r="D35" s="104"/>
      <c r="E35" s="105"/>
      <c r="F35" s="105"/>
      <c r="G35" s="105"/>
      <c r="H35" s="105"/>
      <c r="I35" s="105"/>
      <c r="J35" s="105"/>
      <c r="K35" s="105"/>
      <c r="L35" s="169"/>
      <c r="M35" s="169"/>
      <c r="N35" s="169"/>
      <c r="P35" s="106"/>
      <c r="Q35" s="105"/>
      <c r="R35" s="105"/>
      <c r="S35" s="105"/>
      <c r="T35" s="105"/>
      <c r="U35" s="105"/>
      <c r="V35" s="105"/>
      <c r="W35" s="105"/>
      <c r="X35" s="105"/>
      <c r="Y35" s="107"/>
      <c r="Z35" s="107"/>
      <c r="AA35" s="105"/>
      <c r="AB35" s="105"/>
      <c r="AC35" s="105"/>
      <c r="AD35" s="105"/>
      <c r="AE35" s="105"/>
      <c r="AF35" s="105"/>
      <c r="AG35" s="105"/>
      <c r="AH35" s="105"/>
      <c r="AI35" s="105"/>
      <c r="AJ35" s="105"/>
      <c r="AK35" s="105"/>
      <c r="AL35" s="105"/>
      <c r="AM35" s="108"/>
      <c r="AN35" s="108"/>
      <c r="AO35" s="108"/>
      <c r="AP35" s="105"/>
      <c r="AQ35" s="105"/>
      <c r="AR35" s="105"/>
      <c r="AS35" s="105"/>
      <c r="AT35" s="105"/>
      <c r="AU35" s="105"/>
      <c r="AV35" s="105"/>
      <c r="AW35" s="105"/>
      <c r="AX35" s="105"/>
      <c r="AY35" s="105"/>
      <c r="AZ35" s="105"/>
      <c r="BA35" s="105"/>
    </row>
    <row r="36" spans="4:60" ht="18">
      <c r="D36" s="380" t="s">
        <v>140</v>
      </c>
      <c r="E36" s="380"/>
      <c r="F36" s="380"/>
      <c r="G36" s="380"/>
      <c r="H36" s="380"/>
      <c r="I36" s="380"/>
      <c r="J36" s="380"/>
      <c r="K36" s="380"/>
      <c r="L36" s="169"/>
      <c r="M36" s="169"/>
      <c r="N36" s="169"/>
      <c r="O36" s="381"/>
      <c r="P36" s="382"/>
      <c r="Q36" s="382"/>
      <c r="R36" s="383"/>
      <c r="S36" s="105"/>
      <c r="T36" s="105"/>
      <c r="U36" s="105"/>
      <c r="V36" s="105"/>
      <c r="W36" s="105"/>
      <c r="X36" s="108"/>
      <c r="Y36" s="107"/>
      <c r="Z36" s="107"/>
      <c r="AA36" s="105"/>
      <c r="AB36" s="107"/>
      <c r="AC36" s="107"/>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H36" s="169" t="s">
        <v>78</v>
      </c>
    </row>
    <row r="37" spans="4:60" ht="15" thickBot="1">
      <c r="D37" s="169"/>
      <c r="E37" s="169"/>
      <c r="F37" s="169"/>
      <c r="G37" s="169"/>
      <c r="H37" s="169"/>
      <c r="I37" s="169"/>
      <c r="J37" s="169"/>
      <c r="L37" s="169"/>
      <c r="M37" s="169"/>
      <c r="N37" s="169"/>
      <c r="P37" s="171" t="str">
        <f>+IFERROR(VLOOKUP(L37,$L$192:$P$196,3,FALSE)*VLOOKUP(O37,$O$192:$P$196,3,FALSE),"")</f>
        <v/>
      </c>
      <c r="Y37" s="171"/>
      <c r="Z37" s="188"/>
      <c r="AB37" s="188"/>
      <c r="AC37" s="188"/>
      <c r="AD37" s="189"/>
      <c r="AE37" s="189"/>
      <c r="AF37" s="189"/>
      <c r="AG37" s="189"/>
      <c r="AH37" s="189"/>
      <c r="AI37" s="109"/>
      <c r="AJ37" s="109"/>
      <c r="AK37" s="189"/>
      <c r="AL37" s="190"/>
      <c r="AQ37" s="189"/>
      <c r="AR37" s="189"/>
      <c r="AY37" s="189"/>
      <c r="AZ37" s="189"/>
      <c r="BH37" s="169" t="s">
        <v>79</v>
      </c>
    </row>
    <row r="38" spans="4:60" ht="17.850000000000001" customHeight="1" thickTop="1" thickBot="1">
      <c r="D38" s="379" t="s">
        <v>80</v>
      </c>
      <c r="E38" s="379"/>
      <c r="F38" s="379"/>
      <c r="G38" s="379"/>
      <c r="H38" s="379"/>
      <c r="I38" s="379"/>
      <c r="J38" s="379"/>
      <c r="K38" s="208" t="s">
        <v>81</v>
      </c>
      <c r="L38" s="379" t="s">
        <v>82</v>
      </c>
      <c r="M38" s="379"/>
      <c r="N38" s="379"/>
      <c r="O38" s="379"/>
      <c r="P38" s="379"/>
      <c r="Q38" s="379"/>
      <c r="R38" s="379"/>
      <c r="S38" s="376" t="s">
        <v>83</v>
      </c>
      <c r="T38" s="376"/>
      <c r="U38" s="376"/>
      <c r="V38" s="379" t="s">
        <v>84</v>
      </c>
      <c r="W38" s="379"/>
      <c r="X38" s="379"/>
      <c r="Y38" s="379"/>
      <c r="Z38" s="376">
        <v>1</v>
      </c>
      <c r="AA38" s="376"/>
      <c r="AB38" s="376"/>
      <c r="AC38" s="376"/>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0"/>
      <c r="BH38" s="169" t="s">
        <v>85</v>
      </c>
    </row>
    <row r="39" spans="4:60" ht="13.5" customHeight="1" thickTop="1">
      <c r="D39" s="377" t="s">
        <v>86</v>
      </c>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BH39" s="169" t="s">
        <v>87</v>
      </c>
    </row>
  </sheetData>
  <protectedRanges>
    <protectedRange sqref="P1:P1048576" name="Rango1_2"/>
  </protectedRanges>
  <mergeCells count="296">
    <mergeCell ref="AN15:AN16"/>
    <mergeCell ref="AN17:AN18"/>
    <mergeCell ref="AN19:AN20"/>
    <mergeCell ref="AS15:AS16"/>
    <mergeCell ref="AS17:AS18"/>
    <mergeCell ref="AS19:AS20"/>
    <mergeCell ref="AS21:AS22"/>
    <mergeCell ref="AS23:AS24"/>
    <mergeCell ref="AS25:AS26"/>
    <mergeCell ref="AQ25:AQ26"/>
    <mergeCell ref="AR23:AR24"/>
    <mergeCell ref="AR25:AR26"/>
    <mergeCell ref="AP19:AP20"/>
    <mergeCell ref="AQ19:AQ20"/>
    <mergeCell ref="AR19:AR20"/>
    <mergeCell ref="AR21:AR22"/>
    <mergeCell ref="AO21:AO22"/>
    <mergeCell ref="AP21:AP22"/>
    <mergeCell ref="AQ21:AQ22"/>
    <mergeCell ref="AS27:AS28"/>
    <mergeCell ref="AS29:AS30"/>
    <mergeCell ref="D36:K36"/>
    <mergeCell ref="O36:R36"/>
    <mergeCell ref="AM31:AM32"/>
    <mergeCell ref="AO31:AO32"/>
    <mergeCell ref="AP31:AP32"/>
    <mergeCell ref="AQ31:AQ32"/>
    <mergeCell ref="AR31:AR32"/>
    <mergeCell ref="I33:AY33"/>
    <mergeCell ref="AS31:AS32"/>
    <mergeCell ref="P31:P32"/>
    <mergeCell ref="U31:U32"/>
    <mergeCell ref="J31:J32"/>
    <mergeCell ref="K31:K32"/>
    <mergeCell ref="L31:L32"/>
    <mergeCell ref="M31:M32"/>
    <mergeCell ref="N31:N32"/>
    <mergeCell ref="O31:O32"/>
    <mergeCell ref="AO29:AO30"/>
    <mergeCell ref="P29:P30"/>
    <mergeCell ref="Q29:Q30"/>
    <mergeCell ref="R29:R30"/>
    <mergeCell ref="S29:S30"/>
    <mergeCell ref="Z38:AC38"/>
    <mergeCell ref="D39:AC39"/>
    <mergeCell ref="D38:J38"/>
    <mergeCell ref="L38:R38"/>
    <mergeCell ref="S38:U38"/>
    <mergeCell ref="V38:Y38"/>
    <mergeCell ref="U29:U30"/>
    <mergeCell ref="AM29:AM30"/>
    <mergeCell ref="D31:D32"/>
    <mergeCell ref="E31:E32"/>
    <mergeCell ref="F31:F32"/>
    <mergeCell ref="G31:G32"/>
    <mergeCell ref="H31:H32"/>
    <mergeCell ref="I31:I32"/>
    <mergeCell ref="Q31:Q32"/>
    <mergeCell ref="R31:R32"/>
    <mergeCell ref="S31:S32"/>
    <mergeCell ref="T31:T32"/>
    <mergeCell ref="I29:I30"/>
    <mergeCell ref="J29:J30"/>
    <mergeCell ref="K29:K30"/>
    <mergeCell ref="L29:L30"/>
    <mergeCell ref="M29:M30"/>
    <mergeCell ref="N29:N30"/>
    <mergeCell ref="AR27:AR28"/>
    <mergeCell ref="D29:D30"/>
    <mergeCell ref="E29:E30"/>
    <mergeCell ref="F29:F30"/>
    <mergeCell ref="G29:G30"/>
    <mergeCell ref="H29:H30"/>
    <mergeCell ref="P27:P28"/>
    <mergeCell ref="Q27:Q28"/>
    <mergeCell ref="R27:R28"/>
    <mergeCell ref="S27:S28"/>
    <mergeCell ref="T27:T28"/>
    <mergeCell ref="U27:U28"/>
    <mergeCell ref="J27:J28"/>
    <mergeCell ref="K27:K28"/>
    <mergeCell ref="L27:L28"/>
    <mergeCell ref="M27:M28"/>
    <mergeCell ref="N27:N28"/>
    <mergeCell ref="O27:O28"/>
    <mergeCell ref="D27:D28"/>
    <mergeCell ref="E27:E28"/>
    <mergeCell ref="AP29:AP30"/>
    <mergeCell ref="AQ29:AQ30"/>
    <mergeCell ref="AR29:AR30"/>
    <mergeCell ref="O29:O30"/>
    <mergeCell ref="F27:F28"/>
    <mergeCell ref="G27:G28"/>
    <mergeCell ref="H27:H28"/>
    <mergeCell ref="I27:I28"/>
    <mergeCell ref="U25:U26"/>
    <mergeCell ref="AM25:AM26"/>
    <mergeCell ref="AO25:AO26"/>
    <mergeCell ref="AP25:AP26"/>
    <mergeCell ref="AM27:AM28"/>
    <mergeCell ref="AO27:AO28"/>
    <mergeCell ref="AP27:AP28"/>
    <mergeCell ref="T29:T30"/>
    <mergeCell ref="AQ27:AQ28"/>
    <mergeCell ref="R25:R26"/>
    <mergeCell ref="S25:S26"/>
    <mergeCell ref="T25:T26"/>
    <mergeCell ref="I25:I26"/>
    <mergeCell ref="J25:J26"/>
    <mergeCell ref="K25:K26"/>
    <mergeCell ref="L25:L26"/>
    <mergeCell ref="M25:M26"/>
    <mergeCell ref="N25:N26"/>
    <mergeCell ref="D25:D26"/>
    <mergeCell ref="E25:E26"/>
    <mergeCell ref="F25:F26"/>
    <mergeCell ref="G25:G26"/>
    <mergeCell ref="H25:H26"/>
    <mergeCell ref="P23:P24"/>
    <mergeCell ref="Q23:Q24"/>
    <mergeCell ref="R23:R24"/>
    <mergeCell ref="S23:S24"/>
    <mergeCell ref="O25:O26"/>
    <mergeCell ref="P25:P26"/>
    <mergeCell ref="Q25:Q26"/>
    <mergeCell ref="J23:J24"/>
    <mergeCell ref="K23:K24"/>
    <mergeCell ref="L23:L24"/>
    <mergeCell ref="M23:M24"/>
    <mergeCell ref="N23:N24"/>
    <mergeCell ref="O23:O24"/>
    <mergeCell ref="D23:D24"/>
    <mergeCell ref="E23:E24"/>
    <mergeCell ref="F23:F24"/>
    <mergeCell ref="G23:G24"/>
    <mergeCell ref="H23:H24"/>
    <mergeCell ref="I23:I24"/>
    <mergeCell ref="AM23:AM24"/>
    <mergeCell ref="AO23:AO24"/>
    <mergeCell ref="AP23:AP24"/>
    <mergeCell ref="AQ23:AQ24"/>
    <mergeCell ref="T23:T24"/>
    <mergeCell ref="U23:U24"/>
    <mergeCell ref="T21:T22"/>
    <mergeCell ref="I21:I22"/>
    <mergeCell ref="J21:J22"/>
    <mergeCell ref="K21:K22"/>
    <mergeCell ref="L21:L22"/>
    <mergeCell ref="M21:M22"/>
    <mergeCell ref="N21:N22"/>
    <mergeCell ref="U21:U22"/>
    <mergeCell ref="AM21:AM22"/>
    <mergeCell ref="D21:D22"/>
    <mergeCell ref="E21:E22"/>
    <mergeCell ref="F21:F22"/>
    <mergeCell ref="G21:G22"/>
    <mergeCell ref="H21:H22"/>
    <mergeCell ref="P19:P20"/>
    <mergeCell ref="Q19:Q20"/>
    <mergeCell ref="R19:R20"/>
    <mergeCell ref="S19:S20"/>
    <mergeCell ref="O21:O22"/>
    <mergeCell ref="P21:P22"/>
    <mergeCell ref="Q21:Q22"/>
    <mergeCell ref="R21:R22"/>
    <mergeCell ref="S21:S22"/>
    <mergeCell ref="J19:J20"/>
    <mergeCell ref="K19:K20"/>
    <mergeCell ref="L19:L20"/>
    <mergeCell ref="M19:M20"/>
    <mergeCell ref="N19:N20"/>
    <mergeCell ref="O19:O20"/>
    <mergeCell ref="D19:D20"/>
    <mergeCell ref="E19:E20"/>
    <mergeCell ref="F19:F20"/>
    <mergeCell ref="G19:G20"/>
    <mergeCell ref="H19:H20"/>
    <mergeCell ref="I19:I20"/>
    <mergeCell ref="AO19:AO20"/>
    <mergeCell ref="AP17:AP18"/>
    <mergeCell ref="M17:M18"/>
    <mergeCell ref="N17:N18"/>
    <mergeCell ref="O17:O18"/>
    <mergeCell ref="P17:P18"/>
    <mergeCell ref="Q17:Q18"/>
    <mergeCell ref="R17:R18"/>
    <mergeCell ref="T19:T20"/>
    <mergeCell ref="U19:U20"/>
    <mergeCell ref="BC15:BC32"/>
    <mergeCell ref="D17:D18"/>
    <mergeCell ref="E17:E18"/>
    <mergeCell ref="F17:F18"/>
    <mergeCell ref="G17:G18"/>
    <mergeCell ref="H17:H18"/>
    <mergeCell ref="I17:I18"/>
    <mergeCell ref="J17:J18"/>
    <mergeCell ref="K17:K18"/>
    <mergeCell ref="L17:L18"/>
    <mergeCell ref="AO15:AO16"/>
    <mergeCell ref="AP15:AP16"/>
    <mergeCell ref="AQ15:AQ16"/>
    <mergeCell ref="AR15:AR16"/>
    <mergeCell ref="AZ15:AZ32"/>
    <mergeCell ref="AQ17:AQ18"/>
    <mergeCell ref="AR17:AR18"/>
    <mergeCell ref="AT15:AT16"/>
    <mergeCell ref="S17:S18"/>
    <mergeCell ref="T17:T18"/>
    <mergeCell ref="U17:U18"/>
    <mergeCell ref="AM17:AM18"/>
    <mergeCell ref="AO17:AO18"/>
    <mergeCell ref="AM19:AM20"/>
    <mergeCell ref="Q15:Q16"/>
    <mergeCell ref="R15:R16"/>
    <mergeCell ref="S15:S16"/>
    <mergeCell ref="T15:T16"/>
    <mergeCell ref="U15:U16"/>
    <mergeCell ref="AM15:AM16"/>
    <mergeCell ref="K15:K16"/>
    <mergeCell ref="L15:L16"/>
    <mergeCell ref="M15:M16"/>
    <mergeCell ref="N15:N16"/>
    <mergeCell ref="O15:O16"/>
    <mergeCell ref="P15:P16"/>
    <mergeCell ref="BB13:BB14"/>
    <mergeCell ref="BC13:BC14"/>
    <mergeCell ref="BD13:BD14"/>
    <mergeCell ref="D15:D16"/>
    <mergeCell ref="E15:E16"/>
    <mergeCell ref="F15:F16"/>
    <mergeCell ref="G15:G16"/>
    <mergeCell ref="H15:H16"/>
    <mergeCell ref="I15:I16"/>
    <mergeCell ref="J15:J16"/>
    <mergeCell ref="AV13:AV14"/>
    <mergeCell ref="AW13:AW14"/>
    <mergeCell ref="AX13:AX14"/>
    <mergeCell ref="AY13:AY14"/>
    <mergeCell ref="AZ13:AZ14"/>
    <mergeCell ref="BA13:BA14"/>
    <mergeCell ref="AP13:AP14"/>
    <mergeCell ref="AQ13:AQ14"/>
    <mergeCell ref="AR13:AR14"/>
    <mergeCell ref="AS13:AS14"/>
    <mergeCell ref="AT13:AT14"/>
    <mergeCell ref="AU13:AU14"/>
    <mergeCell ref="AJ13:AJ14"/>
    <mergeCell ref="AK13:AK14"/>
    <mergeCell ref="D2:H5"/>
    <mergeCell ref="I2:BC5"/>
    <mergeCell ref="D7:G7"/>
    <mergeCell ref="H7:BD7"/>
    <mergeCell ref="D8:G8"/>
    <mergeCell ref="H8:BD8"/>
    <mergeCell ref="D13:D14"/>
    <mergeCell ref="E13:E14"/>
    <mergeCell ref="F13:F14"/>
    <mergeCell ref="G13:G14"/>
    <mergeCell ref="H13:H14"/>
    <mergeCell ref="I13:I14"/>
    <mergeCell ref="J13:J14"/>
    <mergeCell ref="D9:G9"/>
    <mergeCell ref="H9:BD9"/>
    <mergeCell ref="R13:R14"/>
    <mergeCell ref="S13:S14"/>
    <mergeCell ref="T13:T14"/>
    <mergeCell ref="U13:U14"/>
    <mergeCell ref="V13:V14"/>
    <mergeCell ref="W13:W14"/>
    <mergeCell ref="K13:K14"/>
    <mergeCell ref="L13:L14"/>
    <mergeCell ref="M13:N13"/>
    <mergeCell ref="A11:C11"/>
    <mergeCell ref="D11:AR11"/>
    <mergeCell ref="AS11:AY12"/>
    <mergeCell ref="AZ11:BB12"/>
    <mergeCell ref="BC11:BD12"/>
    <mergeCell ref="D12:O12"/>
    <mergeCell ref="P12:U12"/>
    <mergeCell ref="V12:AE12"/>
    <mergeCell ref="O13:O14"/>
    <mergeCell ref="P13:P14"/>
    <mergeCell ref="Q13:Q14"/>
    <mergeCell ref="AL13:AL14"/>
    <mergeCell ref="AM13:AM14"/>
    <mergeCell ref="AN13:AN14"/>
    <mergeCell ref="AO13:AO14"/>
    <mergeCell ref="X13:X14"/>
    <mergeCell ref="Y13:Y14"/>
    <mergeCell ref="Z13:AE13"/>
    <mergeCell ref="AG13:AG14"/>
    <mergeCell ref="AH13:AH14"/>
    <mergeCell ref="AI13:AI14"/>
    <mergeCell ref="AF12:AF14"/>
    <mergeCell ref="AG12:AM12"/>
    <mergeCell ref="AO12:AR12"/>
  </mergeCells>
  <conditionalFormatting sqref="P15 AH15:AH32 P17 P19 P21 P23 P25 P27 P29 P31">
    <cfRule type="cellIs" dxfId="124" priority="15" operator="equal">
      <formula>"Muy Alta"</formula>
    </cfRule>
    <cfRule type="cellIs" dxfId="123" priority="16" operator="equal">
      <formula>"Alta"</formula>
    </cfRule>
    <cfRule type="cellIs" dxfId="122" priority="17" operator="equal">
      <formula>"Media"</formula>
    </cfRule>
    <cfRule type="cellIs" dxfId="121" priority="18" operator="equal">
      <formula>"Baja"</formula>
    </cfRule>
    <cfRule type="cellIs" dxfId="120" priority="19" operator="equal">
      <formula>"Muy Baja"</formula>
    </cfRule>
  </conditionalFormatting>
  <conditionalFormatting sqref="S15 AJ15:AJ32 S17 S19 S21 S23 S25 S27 S29 S31">
    <cfRule type="cellIs" dxfId="119" priority="10" operator="equal">
      <formula>"Catastrófico"</formula>
    </cfRule>
    <cfRule type="cellIs" dxfId="118" priority="11" operator="equal">
      <formula>"Mayor"</formula>
    </cfRule>
    <cfRule type="cellIs" dxfId="117" priority="12" operator="equal">
      <formula>"Moderado"</formula>
    </cfRule>
    <cfRule type="cellIs" dxfId="116" priority="13" operator="equal">
      <formula>"Menor"</formula>
    </cfRule>
    <cfRule type="cellIs" dxfId="115" priority="14" operator="equal">
      <formula>"Leve"</formula>
    </cfRule>
  </conditionalFormatting>
  <conditionalFormatting sqref="U15 AL15:AL32 U17 U19 U21 U23 U25 U27 U29 U31">
    <cfRule type="cellIs" dxfId="114" priority="6" operator="equal">
      <formula>"Extremo"</formula>
    </cfRule>
    <cfRule type="cellIs" dxfId="113" priority="7" operator="equal">
      <formula>"Alto"</formula>
    </cfRule>
    <cfRule type="cellIs" dxfId="112" priority="8" operator="equal">
      <formula>"Moderado"</formula>
    </cfRule>
    <cfRule type="cellIs" dxfId="111" priority="9" operator="equal">
      <formula>"Bajo"</formula>
    </cfRule>
  </conditionalFormatting>
  <conditionalFormatting sqref="AI35:AI37">
    <cfRule type="cellIs" dxfId="110" priority="2" operator="equal">
      <formula>#REF!</formula>
    </cfRule>
    <cfRule type="cellIs" dxfId="109" priority="3" operator="equal">
      <formula>#REF!</formula>
    </cfRule>
  </conditionalFormatting>
  <conditionalFormatting sqref="AI35:AJ37">
    <cfRule type="cellIs" dxfId="108" priority="1" stopIfTrue="1" operator="equal">
      <formula>#REF!</formula>
    </cfRule>
  </conditionalFormatting>
  <conditionalFormatting sqref="AJ35:AJ37">
    <cfRule type="cellIs" dxfId="107" priority="4" stopIfTrue="1" operator="equal">
      <formula>#REF!</formula>
    </cfRule>
    <cfRule type="cellIs" dxfId="106" priority="5" stopIfTrue="1" operator="equal">
      <formula>#REF!</formula>
    </cfRule>
  </conditionalFormatting>
  <dataValidations count="10">
    <dataValidation type="list" allowBlank="1" showInputMessage="1" showErrorMessage="1" sqref="K35" xr:uid="{85F015BF-C00B-45F4-81E7-8275CB7963A9}">
      <formula1>$K$192:$K$201</formula1>
    </dataValidation>
    <dataValidation type="list" allowBlank="1" showInputMessage="1" showErrorMessage="1" sqref="K37 AI37:AJ37" xr:uid="{0AA5C597-6FA3-46F3-AC71-55AECA7F4EF7}">
      <formula1>#REF!</formula1>
    </dataValidation>
    <dataValidation type="list" allowBlank="1" showInputMessage="1" showErrorMessage="1" sqref="Y37" xr:uid="{BD5F520D-3934-450B-B93C-D811E359DBF2}">
      <formula1>$R$192:$R$193</formula1>
    </dataValidation>
    <dataValidation type="list" allowBlank="1" showInputMessage="1" showErrorMessage="1" sqref="O37" xr:uid="{703653F5-66AC-458E-A67F-EC422DD48320}">
      <formula1>$O$192:$O$196</formula1>
    </dataValidation>
    <dataValidation type="list" allowBlank="1" showInputMessage="1" showErrorMessage="1" sqref="L37:N37" xr:uid="{718967B5-79D1-463E-B64E-8EAFE02F1733}">
      <formula1>$L$192:$L$196</formula1>
    </dataValidation>
    <dataValidation type="list" allowBlank="1" showInputMessage="1" showErrorMessage="1" sqref="AB37:AH37 Z37 AQ37:AR37 AY37:AZ37" xr:uid="{25CC8995-0EF1-435A-9218-C6E393FE8453}">
      <formula1>$AQ$192:$AQ$199</formula1>
    </dataValidation>
    <dataValidation type="list" allowBlank="1" showInputMessage="1" showErrorMessage="1" error="Recuerde que las acciones se generan bajo la medida de mitigar el riesgo" sqref="AY15:AY20" xr:uid="{8F65124E-A050-449B-844F-A5C84117101B}">
      <formula1>$BH$36:$BH$39</formula1>
    </dataValidation>
    <dataValidation type="custom" allowBlank="1" showInputMessage="1" showErrorMessage="1" error="Recuerde que las acciones se generan bajo la medida de mitigar el riesgo" sqref="AP15 AP31 AP29 AP27 AP25 AP23 AP21 AP17 AP19" xr:uid="{78E2374B-9D40-4D64-8A1B-FDC14BEC7C9F}"/>
    <dataValidation type="list" allowBlank="1" showInputMessage="1" showErrorMessage="1" sqref="R15:R32" xr:uid="{267942A6-9880-4A33-8C15-0EB8643C10E4}">
      <formula1>Criterios_Impacto</formula1>
    </dataValidation>
    <dataValidation allowBlank="1" showInputMessage="1" sqref="AR15:AR32" xr:uid="{1D9371B8-92A8-429E-990A-0DA802CDEF04}"/>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4">
        <x14:dataValidation type="custom" allowBlank="1" showInputMessage="1" showErrorMessage="1" error="Recuerde que las acciones se generan bajo la medida de mitigar el riesgo" xr:uid="{C587218F-20C8-4FC3-8398-D7955F556990}">
          <x14:formula1>
            <xm:f>IF(OR(AQ17='Opciones Tratamiento'!$B$2,AQ17='Opciones Tratamiento'!$B$3,AQ17='Opciones Tratamiento'!$B$4),ISBLANK(AQ17),ISTEXT(AQ17))</xm:f>
          </x14:formula1>
          <xm:sqref>AV17:AX32</xm:sqref>
        </x14:dataValidation>
        <x14:dataValidation type="custom" allowBlank="1" showInputMessage="1" showErrorMessage="1" error="Recuerde que las acciones se generan bajo la medida de mitigar el riesgo" xr:uid="{E4A87594-428E-4894-A124-24AA413E0B5E}">
          <x14:formula1>
            <xm:f>IF(OR(AP16='Opciones Tratamiento'!$B$2,AP16='Opciones Tratamiento'!$B$3,AP16='Opciones Tratamiento'!$B$4),ISBLANK(AP16),ISTEXT(AP16))</xm:f>
          </x14:formula1>
          <xm:sqref>AU18 AU16 AU15:AX15 AU32 AU30 AU28 AU26 AU24 AU22 AU20</xm:sqref>
        </x14:dataValidation>
        <x14:dataValidation type="list" allowBlank="1" showInputMessage="1" showErrorMessage="1" xr:uid="{6324FFED-3A57-47ED-9C5B-1962BCAD5284}">
          <x14:formula1>
            <xm:f>'Opciones Tratamiento'!$B$9:$B$10</xm:f>
          </x14:formula1>
          <xm:sqref>BB21:BB32</xm:sqref>
        </x14:dataValidation>
        <x14:dataValidation type="list" allowBlank="1" showInputMessage="1" showErrorMessage="1" xr:uid="{89C002AA-B211-42CD-878A-0CA56F4EBAEE}">
          <x14:formula1>
            <xm:f>'Opciones Tratamiento'!$B$13:$B$19</xm:f>
          </x14:formula1>
          <xm:sqref>L15 L17:L32</xm:sqref>
        </x14:dataValidation>
        <x14:dataValidation type="list" allowBlank="1" showInputMessage="1" showErrorMessage="1" xr:uid="{EC381B6B-7D7A-4A28-8E15-DE0A6BFFBC9E}">
          <x14:formula1>
            <xm:f>'Opciones Tratamiento'!$B$2:$B$5</xm:f>
          </x14:formula1>
          <xm:sqref>AM27 AM25 AM23 AM15 AM19 AM17 AM31 AM29 AM21</xm:sqref>
        </x14:dataValidation>
        <x14:dataValidation type="custom" allowBlank="1" showInputMessage="1" showErrorMessage="1" error="Recuerde que las acciones se generan bajo la medida de mitigar el riesgo" xr:uid="{AAF3BC00-7D29-4DE7-A5C4-B4DFE72DC68D}">
          <x14:formula1>
            <xm:f>IF(OR(AM21='Opciones Tratamiento'!$B$2,AM21='Opciones Tratamiento'!$B$3,AM21='Opciones Tratamiento'!$B$4),ISBLANK(AM21),ISTEXT(AM21))</xm:f>
          </x14:formula1>
          <xm:sqref>AY21:AY32</xm:sqref>
        </x14:dataValidation>
        <x14:dataValidation type="list" allowBlank="1" showInputMessage="1" showErrorMessage="1" xr:uid="{5CBA9775-A39E-4A86-BFDA-F5B04FE77B06}">
          <x14:formula1>
            <xm:f>Listas!$B$2:$B$7</xm:f>
          </x14:formula1>
          <xm:sqref>H15 H17:H32</xm:sqref>
        </x14:dataValidation>
        <x14:dataValidation type="list" allowBlank="1" showInputMessage="1" showErrorMessage="1" xr:uid="{BCE76335-103F-460B-AE25-6EA2511EC93B}">
          <x14:formula1>
            <xm:f>Listas!$C$2:$C$6</xm:f>
          </x14:formula1>
          <xm:sqref>M17:M32 M15</xm:sqref>
        </x14:dataValidation>
        <x14:dataValidation type="list" allowBlank="1" showInputMessage="1" showErrorMessage="1" xr:uid="{F0339DA5-D652-4B59-9B1D-D7FC9F4A8245}">
          <x14:formula1>
            <xm:f>Listas!$D$2:$D$5</xm:f>
          </x14:formula1>
          <xm:sqref>N17:N32 N15</xm:sqref>
        </x14:dataValidation>
        <x14:dataValidation type="list" allowBlank="1" showInputMessage="1" showErrorMessage="1" xr:uid="{98851454-24F0-43D0-A84E-E0E67E2B3AD8}">
          <x14:formula1>
            <xm:f>Formulas!$B$3:$B$18</xm:f>
          </x14:formula1>
          <xm:sqref>E17:E32</xm:sqref>
        </x14:dataValidation>
        <x14:dataValidation type="list" allowBlank="1" showInputMessage="1" showErrorMessage="1" xr:uid="{F718D52F-AEAD-49AF-B204-8D705429DA44}">
          <x14:formula1>
            <xm:f>Formulas!$E$3:$E$23</xm:f>
          </x14:formula1>
          <xm:sqref>G17:G32</xm:sqref>
        </x14:dataValidation>
        <x14:dataValidation type="custom" allowBlank="1" showInputMessage="1" showErrorMessage="1" error="Recuerde que las acciones se generan bajo la medida de mitigar el riesgo" xr:uid="{BAA9901D-8636-430E-AB06-2E40887D42EE}">
          <x14:formula1>
            <xm:f>IF(OR(AM16='Opciones Tratamiento'!$B$2,AM16='Opciones Tratamiento'!$B$3,AM16='Opciones Tratamiento'!$B$4),ISBLANK(AM16),ISTEXT(AM16))</xm:f>
          </x14:formula1>
          <xm:sqref>AS31 AS29 AS15 AS27 AS23 AS25 AS21 AS17 AS19</xm:sqref>
        </x14:dataValidation>
        <x14:dataValidation type="list" allowBlank="1" showInputMessage="1" showErrorMessage="1" xr:uid="{AB8AB112-56F5-483A-B4B6-B75EBCA7B34F}">
          <x14:formula1>
            <xm:f>'Tabla Valoración controles'!$D$4:$D$6</xm:f>
          </x14:formula1>
          <xm:sqref>Z15:Z32</xm:sqref>
        </x14:dataValidation>
        <x14:dataValidation type="list" allowBlank="1" showInputMessage="1" showErrorMessage="1" xr:uid="{1BAB7878-ED40-4979-B290-8BDE36D79DDB}">
          <x14:formula1>
            <xm:f>'Tabla Valoración controles'!$D$7:$D$8</xm:f>
          </x14:formula1>
          <xm:sqref>AA15:AA32</xm:sqref>
        </x14:dataValidation>
        <x14:dataValidation type="list" allowBlank="1" showInputMessage="1" showErrorMessage="1" xr:uid="{5550FC86-A31B-48BD-9107-A43B660917CD}">
          <x14:formula1>
            <xm:f>'Tabla Valoración controles'!$D$9:$D$10</xm:f>
          </x14:formula1>
          <xm:sqref>AC15:AC32</xm:sqref>
        </x14:dataValidation>
        <x14:dataValidation type="list" allowBlank="1" showInputMessage="1" showErrorMessage="1" xr:uid="{89085756-372C-4AD4-8A0A-A8BA765974E7}">
          <x14:formula1>
            <xm:f>'Tabla Valoración controles'!$D$11:$D$12</xm:f>
          </x14:formula1>
          <xm:sqref>AD15:AD32</xm:sqref>
        </x14:dataValidation>
        <x14:dataValidation type="list" allowBlank="1" showInputMessage="1" showErrorMessage="1" xr:uid="{1B271706-EED4-4B77-AF99-BFBA0AC147AA}">
          <x14:formula1>
            <xm:f>'Tabla Valoración controles'!$D$13:$D$14</xm:f>
          </x14:formula1>
          <xm:sqref>AE15:AE32</xm:sqref>
        </x14:dataValidation>
        <x14:dataValidation type="custom" allowBlank="1" showInputMessage="1" showErrorMessage="1" error="Recuerde que las acciones se generan bajo la medida de mitigar el riesgo" xr:uid="{5A0A779A-15C2-472F-8463-B0334AB2E616}">
          <x14:formula1>
            <xm:f>IF(OR(#REF!='Opciones Tratamiento'!$B$2,#REF!='Opciones Tratamiento'!$B$3,#REF!='Opciones Tratamiento'!$B$4),ISBLANK(#REF!),ISTEXT(#REF!))</xm:f>
          </x14:formula1>
          <xm:sqref>BD15:BD32 BC15</xm:sqref>
        </x14:dataValidation>
        <x14:dataValidation type="custom" allowBlank="1" showInputMessage="1" showErrorMessage="1" error="Recuerde que las acciones se generan bajo la medida de mitigar el riesgo" xr:uid="{B72949F0-226A-424D-B3F0-E018663EE42A}">
          <x14:formula1>
            <xm:f>IF(OR(AQ21='Opciones Tratamiento'!$B$2,AQ21='Opciones Tratamiento'!$B$3,AQ21='Opciones Tratamiento'!$B$4),ISBLANK(AQ21),ISTEXT(AQ21))</xm:f>
          </x14:formula1>
          <xm:sqref>BA21:BA32</xm:sqref>
        </x14:dataValidation>
        <x14:dataValidation type="list" allowBlank="1" showInputMessage="1" showErrorMessage="1" xr:uid="{BF992AAA-6A3F-4084-BCD0-9AA150D80992}">
          <x14:formula1>
            <xm:f>Formulas!$B$3:$B$6</xm:f>
          </x14:formula1>
          <xm:sqref>E15:E16</xm:sqref>
        </x14:dataValidation>
        <x14:dataValidation type="list" allowBlank="1" showInputMessage="1" showErrorMessage="1" xr:uid="{0E0A9019-EE1C-43BE-B9FD-AEEBEE6D5CA1}">
          <x14:formula1>
            <xm:f>Formulas!$D$3:$D$6</xm:f>
          </x14:formula1>
          <xm:sqref>F15:F32</xm:sqref>
        </x14:dataValidation>
        <x14:dataValidation type="list" allowBlank="1" showInputMessage="1" showErrorMessage="1" xr:uid="{F5705554-BEDA-4165-840B-3B25F202DB4C}">
          <x14:formula1>
            <xm:f>Formulas!$E$3:$E$5</xm:f>
          </x14:formula1>
          <xm:sqref>G15:G16</xm:sqref>
        </x14:dataValidation>
        <x14:dataValidation type="custom" allowBlank="1" showInputMessage="1" showErrorMessage="1" error="Recuerde que las acciones se generan bajo la medida de mitigar el riesgo" xr:uid="{FDCD9B36-63DF-4A2D-82DC-8F18C91208F2}">
          <x14:formula1>
            <xm:f>IF(OR(AM16='Opciones Tratamiento'!$B$2,AM16='Opciones Tratamiento'!$B$3,AM16='Opciones Tratamiento'!$B$4),ISBLANK(AM16),ISTEXT(AM16))</xm:f>
          </x14:formula1>
          <xm:sqref>AQ31 AQ29 AQ27 AQ25 AQ23 AQ19 AQ21 AU21 AQ15 AU19 AU17 AU31 AU29 AU27 AU25 AU23 AQ17</xm:sqref>
        </x14:dataValidation>
        <x14:dataValidation type="list" allowBlank="1" showInputMessage="1" showErrorMessage="1" error="Recuerde que las acciones se generan bajo la medida de mitigar el riesgo" xr:uid="{053273C6-D028-4B4E-9A52-08DC6002CAC6}">
          <x14:formula1>
            <xm:f>Formulas!$H$3:$H$4</xm:f>
          </x14:formula1>
          <xm:sqref>AT15 AT17:AT32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5BE97-8FEA-4B79-B2C3-7852B7BCD95F}">
  <dimension ref="A1:CD39"/>
  <sheetViews>
    <sheetView topLeftCell="I15" zoomScale="68" zoomScaleNormal="68" workbookViewId="0">
      <selection activeCell="O17" sqref="O17:O18"/>
    </sheetView>
  </sheetViews>
  <sheetFormatPr defaultColWidth="11.42578125" defaultRowHeight="14.25"/>
  <cols>
    <col min="1" max="1" width="4.7109375" style="169" customWidth="1"/>
    <col min="2" max="2" width="4.42578125" style="169" customWidth="1"/>
    <col min="3" max="3" width="6.28515625" style="169" customWidth="1"/>
    <col min="4" max="4" width="4.7109375" style="170" customWidth="1"/>
    <col min="5" max="5" width="21" style="170" customWidth="1"/>
    <col min="6" max="7" width="20.7109375" style="170" customWidth="1"/>
    <col min="8" max="8" width="18.28515625" style="170" customWidth="1"/>
    <col min="9" max="9" width="49" style="170" customWidth="1"/>
    <col min="10" max="10" width="53.7109375" style="170" customWidth="1"/>
    <col min="11" max="11" width="58.28515625" style="169" customWidth="1"/>
    <col min="12" max="12" width="25.42578125" style="171" customWidth="1"/>
    <col min="13" max="13" width="31.85546875" style="171" customWidth="1"/>
    <col min="14" max="14" width="23.85546875" style="171" customWidth="1"/>
    <col min="15" max="15" width="19.5703125" style="169" customWidth="1"/>
    <col min="16" max="16" width="16.42578125" style="169" customWidth="1"/>
    <col min="17" max="17" width="8.85546875" style="169" customWidth="1"/>
    <col min="18" max="18" width="43.85546875" style="169" customWidth="1"/>
    <col min="19" max="19" width="17.42578125" style="169" customWidth="1"/>
    <col min="20" max="20" width="10.42578125" style="169" customWidth="1"/>
    <col min="21" max="21" width="16" style="169" customWidth="1"/>
    <col min="22" max="22" width="5.7109375" style="169" customWidth="1"/>
    <col min="23" max="23" width="91.42578125" style="169" customWidth="1"/>
    <col min="24" max="24" width="57.28515625" style="169" customWidth="1"/>
    <col min="25" max="25" width="15.28515625" style="169" customWidth="1"/>
    <col min="26" max="26" width="6.7109375" style="169" customWidth="1"/>
    <col min="27" max="27" width="5" style="169" customWidth="1"/>
    <col min="28" max="28" width="5.42578125" style="169" customWidth="1"/>
    <col min="29" max="29" width="7.28515625" style="169" customWidth="1"/>
    <col min="30" max="30" width="6.7109375" style="169" customWidth="1"/>
    <col min="31" max="31" width="8.28515625" style="169" customWidth="1"/>
    <col min="32" max="32" width="27" style="169" customWidth="1"/>
    <col min="33" max="33" width="13.7109375" style="169" customWidth="1"/>
    <col min="34" max="38" width="16.140625" style="169" customWidth="1"/>
    <col min="39" max="40" width="7.28515625" style="169" customWidth="1"/>
    <col min="41" max="41" width="46.42578125" style="169" customWidth="1"/>
    <col min="42" max="42" width="24.28515625" style="169" customWidth="1"/>
    <col min="43" max="44" width="23.140625" style="169" customWidth="1"/>
    <col min="45" max="46" width="19.7109375" style="169" customWidth="1"/>
    <col min="47" max="47" width="35.42578125" style="169" customWidth="1"/>
    <col min="48" max="50" width="34.7109375" style="169" customWidth="1"/>
    <col min="51" max="51" width="29" style="169" customWidth="1"/>
    <col min="52" max="52" width="23.28515625" style="169" customWidth="1"/>
    <col min="53" max="53" width="68.42578125" style="169" customWidth="1"/>
    <col min="54" max="54" width="31.42578125" style="169" customWidth="1"/>
    <col min="55" max="55" width="30.42578125" style="169" customWidth="1"/>
    <col min="56" max="56" width="53" style="169" customWidth="1"/>
    <col min="57" max="59" width="0" style="169" hidden="1" customWidth="1"/>
    <col min="60" max="61" width="11.42578125" style="169" hidden="1" customWidth="1"/>
    <col min="62" max="63" width="0" style="169" hidden="1" customWidth="1"/>
    <col min="64" max="16384" width="11.42578125" style="169"/>
  </cols>
  <sheetData>
    <row r="1" spans="1:82" ht="15" thickBot="1"/>
    <row r="2" spans="1:82" ht="27.75" customHeight="1">
      <c r="D2" s="281" t="s">
        <v>7</v>
      </c>
      <c r="E2" s="282"/>
      <c r="F2" s="282"/>
      <c r="G2" s="282"/>
      <c r="H2" s="283"/>
      <c r="I2" s="290" t="s">
        <v>8</v>
      </c>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13" t="s">
        <v>9</v>
      </c>
    </row>
    <row r="3" spans="1:82" ht="27.75" customHeight="1">
      <c r="D3" s="284"/>
      <c r="E3" s="285"/>
      <c r="F3" s="285"/>
      <c r="G3" s="285"/>
      <c r="H3" s="286"/>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20" t="s">
        <v>10</v>
      </c>
    </row>
    <row r="4" spans="1:82" ht="27.75" customHeight="1">
      <c r="D4" s="284"/>
      <c r="E4" s="285"/>
      <c r="F4" s="285"/>
      <c r="G4" s="285"/>
      <c r="H4" s="286"/>
      <c r="I4" s="290"/>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14" t="s">
        <v>4</v>
      </c>
    </row>
    <row r="5" spans="1:82" ht="27.75" customHeight="1" thickBot="1">
      <c r="D5" s="287"/>
      <c r="E5" s="288"/>
      <c r="F5" s="288"/>
      <c r="G5" s="288"/>
      <c r="H5" s="289"/>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14" t="s">
        <v>11</v>
      </c>
    </row>
    <row r="6" spans="1:82" ht="14.1" customHeight="1">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15"/>
    </row>
    <row r="7" spans="1:82" ht="26.25" customHeight="1">
      <c r="D7" s="291" t="s">
        <v>12</v>
      </c>
      <c r="E7" s="292"/>
      <c r="F7" s="292"/>
      <c r="G7" s="293"/>
      <c r="H7" s="294" t="s">
        <v>88</v>
      </c>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48.75" customHeight="1">
      <c r="D8" s="291" t="s">
        <v>13</v>
      </c>
      <c r="E8" s="292"/>
      <c r="F8" s="292"/>
      <c r="G8" s="293"/>
      <c r="H8" s="296" t="s">
        <v>89</v>
      </c>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48.75" customHeight="1">
      <c r="D9" s="291" t="s">
        <v>14</v>
      </c>
      <c r="E9" s="292"/>
      <c r="F9" s="292"/>
      <c r="G9" s="293"/>
      <c r="H9" s="296" t="s">
        <v>90</v>
      </c>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16"/>
      <c r="AT10" s="216"/>
      <c r="AU10" s="216"/>
      <c r="AV10" s="216"/>
      <c r="AW10" s="216"/>
      <c r="AX10" s="216"/>
      <c r="AY10" s="216"/>
      <c r="AZ10" s="179"/>
      <c r="BA10" s="179"/>
      <c r="BB10" s="179"/>
      <c r="BC10" s="179"/>
      <c r="BD10" s="179"/>
    </row>
    <row r="11" spans="1:82" s="174" customFormat="1" ht="25.5" customHeight="1">
      <c r="A11" s="269" t="s">
        <v>15</v>
      </c>
      <c r="B11" s="269"/>
      <c r="C11" s="270"/>
      <c r="D11" s="271" t="s">
        <v>16</v>
      </c>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3" t="s">
        <v>16</v>
      </c>
      <c r="AT11" s="273"/>
      <c r="AU11" s="273"/>
      <c r="AV11" s="273"/>
      <c r="AW11" s="273"/>
      <c r="AX11" s="273"/>
      <c r="AY11" s="273"/>
      <c r="AZ11" s="274" t="s">
        <v>18</v>
      </c>
      <c r="BA11" s="273"/>
      <c r="BB11" s="273"/>
      <c r="BC11" s="275" t="s">
        <v>19</v>
      </c>
      <c r="BD11" s="276"/>
    </row>
    <row r="12" spans="1:82" ht="27" customHeight="1">
      <c r="D12" s="279" t="s">
        <v>20</v>
      </c>
      <c r="E12" s="279"/>
      <c r="F12" s="279"/>
      <c r="G12" s="279"/>
      <c r="H12" s="279"/>
      <c r="I12" s="280"/>
      <c r="J12" s="280"/>
      <c r="K12" s="280"/>
      <c r="L12" s="280"/>
      <c r="M12" s="280"/>
      <c r="N12" s="280"/>
      <c r="O12" s="280"/>
      <c r="P12" s="280" t="s">
        <v>21</v>
      </c>
      <c r="Q12" s="280"/>
      <c r="R12" s="280"/>
      <c r="S12" s="280"/>
      <c r="T12" s="280"/>
      <c r="U12" s="280"/>
      <c r="V12" s="280" t="s">
        <v>22</v>
      </c>
      <c r="W12" s="280"/>
      <c r="X12" s="280"/>
      <c r="Y12" s="280"/>
      <c r="Z12" s="280"/>
      <c r="AA12" s="280"/>
      <c r="AB12" s="280"/>
      <c r="AC12" s="280"/>
      <c r="AD12" s="280"/>
      <c r="AE12" s="280"/>
      <c r="AF12" s="310" t="s">
        <v>23</v>
      </c>
      <c r="AG12" s="280" t="s">
        <v>24</v>
      </c>
      <c r="AH12" s="280"/>
      <c r="AI12" s="280"/>
      <c r="AJ12" s="280"/>
      <c r="AK12" s="280"/>
      <c r="AL12" s="280"/>
      <c r="AM12" s="280"/>
      <c r="AN12" s="218"/>
      <c r="AO12" s="271" t="s">
        <v>25</v>
      </c>
      <c r="AP12" s="272"/>
      <c r="AQ12" s="272"/>
      <c r="AR12" s="272"/>
      <c r="AS12" s="273"/>
      <c r="AT12" s="273"/>
      <c r="AU12" s="273"/>
      <c r="AV12" s="273"/>
      <c r="AW12" s="273"/>
      <c r="AX12" s="273"/>
      <c r="AY12" s="273"/>
      <c r="AZ12" s="274"/>
      <c r="BA12" s="273"/>
      <c r="BB12" s="273"/>
      <c r="BC12" s="277"/>
      <c r="BD12" s="278"/>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45.75" customHeight="1">
      <c r="D13" s="297" t="s">
        <v>26</v>
      </c>
      <c r="E13" s="298" t="s">
        <v>27</v>
      </c>
      <c r="F13" s="299" t="s">
        <v>28</v>
      </c>
      <c r="G13" s="300" t="s">
        <v>29</v>
      </c>
      <c r="H13" s="279" t="s">
        <v>30</v>
      </c>
      <c r="I13" s="298" t="s">
        <v>31</v>
      </c>
      <c r="J13" s="298" t="s">
        <v>32</v>
      </c>
      <c r="K13" s="298" t="s">
        <v>33</v>
      </c>
      <c r="L13" s="300" t="s">
        <v>34</v>
      </c>
      <c r="M13" s="304" t="s">
        <v>35</v>
      </c>
      <c r="N13" s="305"/>
      <c r="O13" s="298" t="s">
        <v>36</v>
      </c>
      <c r="P13" s="298" t="s">
        <v>37</v>
      </c>
      <c r="Q13" s="279" t="s">
        <v>38</v>
      </c>
      <c r="R13" s="298" t="s">
        <v>39</v>
      </c>
      <c r="S13" s="298" t="s">
        <v>40</v>
      </c>
      <c r="T13" s="279" t="s">
        <v>38</v>
      </c>
      <c r="U13" s="298" t="s">
        <v>41</v>
      </c>
      <c r="V13" s="303" t="s">
        <v>42</v>
      </c>
      <c r="W13" s="298" t="s">
        <v>43</v>
      </c>
      <c r="X13" s="298" t="s">
        <v>44</v>
      </c>
      <c r="Y13" s="298" t="s">
        <v>45</v>
      </c>
      <c r="Z13" s="298" t="s">
        <v>46</v>
      </c>
      <c r="AA13" s="298"/>
      <c r="AB13" s="298"/>
      <c r="AC13" s="298"/>
      <c r="AD13" s="298"/>
      <c r="AE13" s="298"/>
      <c r="AF13" s="311"/>
      <c r="AG13" s="303" t="s">
        <v>47</v>
      </c>
      <c r="AH13" s="303" t="s">
        <v>48</v>
      </c>
      <c r="AI13" s="303" t="s">
        <v>38</v>
      </c>
      <c r="AJ13" s="303" t="s">
        <v>49</v>
      </c>
      <c r="AK13" s="303" t="s">
        <v>38</v>
      </c>
      <c r="AL13" s="303" t="s">
        <v>50</v>
      </c>
      <c r="AM13" s="303" t="s">
        <v>51</v>
      </c>
      <c r="AN13" s="303" t="s">
        <v>52</v>
      </c>
      <c r="AO13" s="298" t="s">
        <v>53</v>
      </c>
      <c r="AP13" s="298" t="s">
        <v>54</v>
      </c>
      <c r="AQ13" s="298" t="s">
        <v>55</v>
      </c>
      <c r="AR13" s="300" t="s">
        <v>56</v>
      </c>
      <c r="AS13" s="306" t="s">
        <v>91</v>
      </c>
      <c r="AT13" s="308" t="s">
        <v>58</v>
      </c>
      <c r="AU13" s="308" t="s">
        <v>59</v>
      </c>
      <c r="AV13" s="308" t="s">
        <v>60</v>
      </c>
      <c r="AW13" s="308" t="s">
        <v>61</v>
      </c>
      <c r="AX13" s="308" t="s">
        <v>62</v>
      </c>
      <c r="AY13" s="308" t="s">
        <v>63</v>
      </c>
      <c r="AZ13" s="298" t="s">
        <v>64</v>
      </c>
      <c r="BA13" s="298" t="s">
        <v>65</v>
      </c>
      <c r="BB13" s="298" t="s">
        <v>66</v>
      </c>
      <c r="BC13" s="319" t="s">
        <v>64</v>
      </c>
      <c r="BD13" s="319" t="s">
        <v>67</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106.5" customHeight="1">
      <c r="A14" s="180"/>
      <c r="B14" s="180"/>
      <c r="C14" s="180"/>
      <c r="D14" s="297"/>
      <c r="E14" s="298"/>
      <c r="F14" s="280"/>
      <c r="G14" s="301"/>
      <c r="H14" s="279"/>
      <c r="I14" s="298"/>
      <c r="J14" s="298"/>
      <c r="K14" s="279"/>
      <c r="L14" s="301"/>
      <c r="M14" s="191" t="s">
        <v>68</v>
      </c>
      <c r="N14" s="191" t="s">
        <v>69</v>
      </c>
      <c r="O14" s="298"/>
      <c r="P14" s="298"/>
      <c r="Q14" s="279"/>
      <c r="R14" s="298"/>
      <c r="S14" s="279"/>
      <c r="T14" s="279"/>
      <c r="U14" s="298"/>
      <c r="V14" s="303"/>
      <c r="W14" s="298"/>
      <c r="X14" s="298"/>
      <c r="Y14" s="298"/>
      <c r="Z14" s="207" t="s">
        <v>70</v>
      </c>
      <c r="AA14" s="207" t="s">
        <v>71</v>
      </c>
      <c r="AB14" s="207" t="s">
        <v>72</v>
      </c>
      <c r="AC14" s="207" t="s">
        <v>23</v>
      </c>
      <c r="AD14" s="207" t="s">
        <v>73</v>
      </c>
      <c r="AE14" s="207" t="s">
        <v>74</v>
      </c>
      <c r="AF14" s="312"/>
      <c r="AG14" s="303"/>
      <c r="AH14" s="303"/>
      <c r="AI14" s="303"/>
      <c r="AJ14" s="303"/>
      <c r="AK14" s="303"/>
      <c r="AL14" s="303"/>
      <c r="AM14" s="303"/>
      <c r="AN14" s="303"/>
      <c r="AO14" s="298"/>
      <c r="AP14" s="298"/>
      <c r="AQ14" s="298"/>
      <c r="AR14" s="301"/>
      <c r="AS14" s="307"/>
      <c r="AT14" s="309"/>
      <c r="AU14" s="309"/>
      <c r="AV14" s="309"/>
      <c r="AW14" s="309"/>
      <c r="AX14" s="309"/>
      <c r="AY14" s="309"/>
      <c r="AZ14" s="300"/>
      <c r="BA14" s="300"/>
      <c r="BB14" s="300"/>
      <c r="BC14" s="309"/>
      <c r="BD14" s="309"/>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223" customFormat="1" ht="87" customHeight="1">
      <c r="D15" s="320">
        <v>1</v>
      </c>
      <c r="E15" s="322" t="s">
        <v>92</v>
      </c>
      <c r="F15" s="322" t="s">
        <v>141</v>
      </c>
      <c r="G15" s="324"/>
      <c r="H15" s="322" t="s">
        <v>94</v>
      </c>
      <c r="I15" s="326" t="s">
        <v>142</v>
      </c>
      <c r="J15" s="440" t="s">
        <v>143</v>
      </c>
      <c r="K15" s="326" t="s">
        <v>144</v>
      </c>
      <c r="L15" s="313" t="s">
        <v>98</v>
      </c>
      <c r="M15" s="315" t="s">
        <v>99</v>
      </c>
      <c r="N15" s="315" t="s">
        <v>100</v>
      </c>
      <c r="O15" s="313">
        <v>625</v>
      </c>
      <c r="P15" s="317" t="str">
        <f>IF(O15&lt;=0,"",IF(O15&lt;=2,"Muy Baja",IF(O15&lt;=24,"Baja",IF(O15&lt;=500,"Media",IF(O15&lt;=5000,"Alta","Muy Alta")))))</f>
        <v>Alta</v>
      </c>
      <c r="Q15" s="338">
        <f>IF(P15="","",IF(P15="Muy Baja",0.2,IF(P15="Baja",0.4,IF(P15="Media",0.6,IF(P15="Alta",0.8,IF(P15="Muy Alta",1,))))))</f>
        <v>0.8</v>
      </c>
      <c r="R15" s="340" t="s">
        <v>101</v>
      </c>
      <c r="S15" s="317" t="str">
        <f>IFERROR(VLOOKUP(R15,Criterios[],2,FALSE),"")</f>
        <v>Moderado</v>
      </c>
      <c r="T15" s="338">
        <f t="shared" ref="T15" si="0">IF(S15="","",IF(S15="Leve",0.2,IF(S15="Menor",0.4,IF(S15="Moderado",0.6,IF(S15="Mayor",0.8,IF(S15="Catastrófico",1,))))))</f>
        <v>0.6</v>
      </c>
      <c r="U15" s="317"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Alto</v>
      </c>
      <c r="V15" s="224">
        <v>1</v>
      </c>
      <c r="W15" s="225" t="s">
        <v>145</v>
      </c>
      <c r="X15" s="226" t="s">
        <v>146</v>
      </c>
      <c r="Y15" s="227" t="str">
        <f t="shared" ref="Y15:Y32" si="1">IF(OR(Z15="Preventivo",Z15="Detectivo"),"Probabilidad",IF(Z15="Correctivo","Impacto",""))</f>
        <v>Probabilidad</v>
      </c>
      <c r="Z15" s="228" t="s">
        <v>104</v>
      </c>
      <c r="AA15" s="228" t="s">
        <v>105</v>
      </c>
      <c r="AB15" s="229" t="str">
        <f t="shared" ref="AB15:AB32" si="2">IF(AND(Z15="Preventivo",AA15="Automático"),"50%",IF(AND(Z15="Preventivo",AA15="Manual"),"40%",IF(AND(Z15="Detectivo",AA15="Automático"),"40%",IF(AND(Z15="Detectivo",AA15="Manual"),"30%",IF(AND(Z15="Correctivo",AA15="Automático"),"35%",IF(AND(Z15="Correctivo",AA15="Manual"),"25%",""))))))</f>
        <v>40%</v>
      </c>
      <c r="AC15" s="228" t="s">
        <v>106</v>
      </c>
      <c r="AD15" s="228" t="s">
        <v>107</v>
      </c>
      <c r="AE15" s="228" t="s">
        <v>108</v>
      </c>
      <c r="AF15" s="230" t="s">
        <v>147</v>
      </c>
      <c r="AG15" s="231">
        <f>IFERROR(IF(Y15="Probabilidad",(Q15-(+ Q15*AB15)),IF(Y15="Impacto",Q15,"")),"")</f>
        <v>0.48</v>
      </c>
      <c r="AH15" s="232" t="str">
        <f>IFERROR(IF(AG15="","",IF(AG15&lt;=0.2,"Muy Baja",IF(AG15&lt;=0.4,"Baja",IF(AG15&lt;=0.6,"Media",IF(AG15&lt;=0.8,"Alta","Muy Alta"))))),"")</f>
        <v>Media</v>
      </c>
      <c r="AI15" s="229">
        <f>+AG15</f>
        <v>0.48</v>
      </c>
      <c r="AJ15" s="232" t="str">
        <f>IFERROR(IF(AK15="","",IF(AK15&lt;=0.2,"Leve",IF(AK15&lt;=0.4,"Menor",IF(AK15&lt;=0.6,"Moderado",IF(AK15&lt;=0.8,"Mayor","Catastrófico"))))),"")</f>
        <v>Moderado</v>
      </c>
      <c r="AK15" s="229">
        <f>IFERROR(IF(Y15="Impacto",(T15-(+T15*AB15)),IF(Y15="Probabilidad",T15,"")),"")</f>
        <v>0.6</v>
      </c>
      <c r="AL15" s="232"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Moderado</v>
      </c>
      <c r="AM15" s="342" t="s">
        <v>75</v>
      </c>
      <c r="AN15" s="322">
        <v>1</v>
      </c>
      <c r="AO15" s="326" t="s">
        <v>148</v>
      </c>
      <c r="AP15" s="331" t="s">
        <v>149</v>
      </c>
      <c r="AQ15" s="333" t="s">
        <v>150</v>
      </c>
      <c r="AR15" s="333">
        <v>46336</v>
      </c>
      <c r="AS15" s="333">
        <v>46268</v>
      </c>
      <c r="AT15" s="385"/>
      <c r="AU15" s="233"/>
      <c r="AV15" s="233"/>
      <c r="AW15" s="233"/>
      <c r="AX15" s="233"/>
      <c r="AY15" s="233"/>
      <c r="AZ15" s="335"/>
      <c r="BA15" s="234"/>
      <c r="BB15" s="235"/>
      <c r="BC15" s="328"/>
      <c r="BD15" s="236"/>
      <c r="BE15" s="237"/>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row>
    <row r="16" spans="1:82" s="223" customFormat="1" ht="62.25" customHeight="1">
      <c r="D16" s="321"/>
      <c r="E16" s="323"/>
      <c r="F16" s="323"/>
      <c r="G16" s="325"/>
      <c r="H16" s="323"/>
      <c r="I16" s="327"/>
      <c r="J16" s="327"/>
      <c r="K16" s="434"/>
      <c r="L16" s="314"/>
      <c r="M16" s="316"/>
      <c r="N16" s="316"/>
      <c r="O16" s="314"/>
      <c r="P16" s="318"/>
      <c r="Q16" s="339"/>
      <c r="R16" s="341"/>
      <c r="S16" s="318"/>
      <c r="T16" s="339"/>
      <c r="U16" s="318"/>
      <c r="V16" s="239">
        <v>2</v>
      </c>
      <c r="W16" s="225"/>
      <c r="X16" s="226"/>
      <c r="Y16" s="227" t="str">
        <f t="shared" si="1"/>
        <v/>
      </c>
      <c r="Z16" s="228"/>
      <c r="AA16" s="228"/>
      <c r="AB16" s="229" t="str">
        <f t="shared" si="2"/>
        <v/>
      </c>
      <c r="AC16" s="228"/>
      <c r="AD16" s="228"/>
      <c r="AE16" s="228"/>
      <c r="AF16" s="230"/>
      <c r="AG16" s="231" t="str">
        <f t="shared" ref="AG16:AG20" si="3">IFERROR(IF(Y16="Probabilidad",(Q16-(+ Q16*AB16)),IF(Y16="Impacto",Q16,"")),"")</f>
        <v/>
      </c>
      <c r="AH16" s="232" t="str">
        <f t="shared" ref="AH16:AH32" si="4">IFERROR(IF(AG16="","",IF(AG16&lt;=0.2,"Muy Baja",IF(AG16&lt;=0.4,"Baja",IF(AG16&lt;=0.6,"Media",IF(AG16&lt;=0.8,"Alta","Muy Alta"))))),"")</f>
        <v/>
      </c>
      <c r="AI16" s="229" t="str">
        <f t="shared" ref="AI16:AI31" si="5">+AG16</f>
        <v/>
      </c>
      <c r="AJ16" s="232" t="str">
        <f t="shared" ref="AJ16:AJ32" si="6">IFERROR(IF(AK16="","",IF(AK16&lt;=0.2,"Leve",IF(AK16&lt;=0.4,"Menor",IF(AK16&lt;=0.6,"Moderado",IF(AK16&lt;=0.8,"Mayor","Catastrófico"))))),"")</f>
        <v/>
      </c>
      <c r="AK16" s="229" t="str">
        <f>IFERROR(IF(Y16="Impacto",(T16-(+T16*AB16)),IF(Y16="Probabilidad",T15,"")),"")</f>
        <v/>
      </c>
      <c r="AL16" s="232" t="str">
        <f t="shared" ref="AL16:AL32" si="7">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
      </c>
      <c r="AM16" s="343"/>
      <c r="AN16" s="323"/>
      <c r="AO16" s="327"/>
      <c r="AP16" s="332"/>
      <c r="AQ16" s="334"/>
      <c r="AR16" s="334"/>
      <c r="AS16" s="334"/>
      <c r="AT16" s="386"/>
      <c r="AU16" s="233"/>
      <c r="AV16" s="233"/>
      <c r="AW16" s="233"/>
      <c r="AX16" s="233"/>
      <c r="AY16" s="233"/>
      <c r="AZ16" s="336"/>
      <c r="BA16" s="234"/>
      <c r="BB16" s="240"/>
      <c r="BC16" s="329"/>
      <c r="BD16" s="236"/>
      <c r="BE16" s="241"/>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row>
    <row r="17" spans="4:82" s="223" customFormat="1" ht="93.75" customHeight="1">
      <c r="D17" s="320">
        <v>2</v>
      </c>
      <c r="E17" s="322" t="s">
        <v>92</v>
      </c>
      <c r="F17" s="322" t="s">
        <v>93</v>
      </c>
      <c r="G17" s="324"/>
      <c r="H17" s="322" t="s">
        <v>151</v>
      </c>
      <c r="I17" s="326" t="s">
        <v>152</v>
      </c>
      <c r="J17" s="440" t="s">
        <v>153</v>
      </c>
      <c r="K17" s="326" t="s">
        <v>154</v>
      </c>
      <c r="L17" s="313" t="s">
        <v>98</v>
      </c>
      <c r="M17" s="315" t="s">
        <v>99</v>
      </c>
      <c r="N17" s="315" t="s">
        <v>100</v>
      </c>
      <c r="O17" s="313">
        <v>56</v>
      </c>
      <c r="P17" s="317" t="str">
        <f>IF(O17&lt;=0,"",IF(O17&lt;=2,"Muy Baja",IF(O17&lt;=24,"Baja",IF(O17&lt;=500,"Media",IF(O17&lt;=5000,"Alta","Muy Alta")))))</f>
        <v>Media</v>
      </c>
      <c r="Q17" s="338">
        <f t="shared" ref="Q17" si="8">IF(P17="","",IF(P17="Muy Baja",0.2,IF(P17="Baja",0.4,IF(P17="Media",0.6,IF(P17="Alta",0.8,IF(P17="Muy Alta",1,))))))</f>
        <v>0.6</v>
      </c>
      <c r="R17" s="340" t="s">
        <v>101</v>
      </c>
      <c r="S17" s="317" t="str">
        <f>IFERROR(VLOOKUP(R17,Criterios[],2,FALSE),"")</f>
        <v>Moderado</v>
      </c>
      <c r="T17" s="338">
        <f t="shared" ref="T17" si="9">IF(S17="","",IF(S17="Leve",0.2,IF(S17="Menor",0.4,IF(S17="Moderado",0.6,IF(S17="Mayor",0.8,IF(S17="Catastrófico",1,))))))</f>
        <v>0.6</v>
      </c>
      <c r="U17" s="317" t="str">
        <f>IF(OR(AND(P17="Muy Baja",S17="Leve"),AND(P17="Muy Baja",S17="Menor"),AND(P17="Baja",S17="Leve")),"Bajo",IF(OR(AND(P17="Muy baja",S17="Moderado"),AND(P17="Baja",S17="Menor"),AND(P17="Baja",S17="Moderado"),AND(P17="Media",S17="Leve"),AND(P17="Media",S17="Menor"),AND(P17="Media",S17="Moderado"),AND(P17="Alta",S17="Leve"),AND(P17="Alta",S17="Menor")),"Moderado",IF(OR(AND(P17="Muy Baja",S17="Mayor"),AND(P17="Baja",S17="Mayor"),AND(P17="Media",S17="Mayor"),AND(P17="Alta",S17="Moderado"),AND(P17="Alta",S17="Mayor"),AND(P17="Muy Alta",S17="Leve"),AND(P17="Muy Alta",S17="Menor"),AND(P17="Muy Alta",S17="Moderado"),AND(P17="Muy Alta",S17="Mayor")),"Alto",IF(OR(AND(P17="Muy Baja",S17="Catastrófico"),AND(P17="Baja",S17="Catastrófico"),AND(P17="Media",S17="Catastrófico"),AND(P17="Alta",S17="Catastrófico"),AND(P17="Muy Alta",S17="Catastrófico")),"Extremo",""))))</f>
        <v>Moderado</v>
      </c>
      <c r="V17" s="224">
        <v>1</v>
      </c>
      <c r="W17" s="225" t="s">
        <v>155</v>
      </c>
      <c r="X17" s="226" t="s">
        <v>156</v>
      </c>
      <c r="Y17" s="227" t="str">
        <f t="shared" si="1"/>
        <v>Probabilidad</v>
      </c>
      <c r="Z17" s="228" t="s">
        <v>104</v>
      </c>
      <c r="AA17" s="228" t="s">
        <v>105</v>
      </c>
      <c r="AB17" s="229" t="str">
        <f t="shared" si="2"/>
        <v>40%</v>
      </c>
      <c r="AC17" s="228" t="s">
        <v>106</v>
      </c>
      <c r="AD17" s="228" t="s">
        <v>107</v>
      </c>
      <c r="AE17" s="228" t="s">
        <v>108</v>
      </c>
      <c r="AF17" s="230"/>
      <c r="AG17" s="231">
        <f t="shared" si="3"/>
        <v>0.36</v>
      </c>
      <c r="AH17" s="232" t="str">
        <f t="shared" si="4"/>
        <v>Baja</v>
      </c>
      <c r="AI17" s="229">
        <f t="shared" si="5"/>
        <v>0.36</v>
      </c>
      <c r="AJ17" s="232" t="str">
        <f>IFERROR(IF(AK17="","",IF(AK17&lt;=0.2,"Leve",IF(AK17&lt;=0.4,"Menor",IF(AK17&lt;=0.6,"Moderado",IF(AK17&lt;=0.8,"Mayor","Catastrófico"))))),"")</f>
        <v>Moderado</v>
      </c>
      <c r="AK17" s="229">
        <f>IFERROR(IF(Y17="Impacto",(T117-(+T17*AB17)),IF(Y17="Probabilidad",T17,"")),"")</f>
        <v>0.6</v>
      </c>
      <c r="AL17" s="232" t="str">
        <f t="shared" si="7"/>
        <v>Moderado</v>
      </c>
      <c r="AM17" s="342" t="s">
        <v>75</v>
      </c>
      <c r="AN17" s="322">
        <v>1</v>
      </c>
      <c r="AO17" s="326" t="s">
        <v>157</v>
      </c>
      <c r="AP17" s="331" t="s">
        <v>149</v>
      </c>
      <c r="AQ17" s="333" t="s">
        <v>158</v>
      </c>
      <c r="AR17" s="333">
        <v>46336</v>
      </c>
      <c r="AS17" s="333"/>
      <c r="AT17" s="233"/>
      <c r="AU17" s="233"/>
      <c r="AV17" s="233"/>
      <c r="AW17" s="233"/>
      <c r="AX17" s="233"/>
      <c r="AY17" s="233"/>
      <c r="AZ17" s="336"/>
      <c r="BA17" s="234"/>
      <c r="BB17" s="240"/>
      <c r="BC17" s="329"/>
      <c r="BD17" s="236"/>
      <c r="BE17" s="238"/>
      <c r="BF17" s="241"/>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row>
    <row r="18" spans="4:82" s="223" customFormat="1" ht="50.25" customHeight="1">
      <c r="D18" s="321"/>
      <c r="E18" s="323"/>
      <c r="F18" s="323"/>
      <c r="G18" s="325"/>
      <c r="H18" s="323"/>
      <c r="I18" s="327"/>
      <c r="J18" s="327"/>
      <c r="K18" s="434"/>
      <c r="L18" s="314"/>
      <c r="M18" s="316"/>
      <c r="N18" s="316"/>
      <c r="O18" s="314"/>
      <c r="P18" s="318"/>
      <c r="Q18" s="339"/>
      <c r="R18" s="341"/>
      <c r="S18" s="318"/>
      <c r="T18" s="339"/>
      <c r="U18" s="318"/>
      <c r="V18" s="239">
        <v>2</v>
      </c>
      <c r="W18" s="225"/>
      <c r="X18" s="226"/>
      <c r="Y18" s="227"/>
      <c r="Z18" s="228"/>
      <c r="AA18" s="228"/>
      <c r="AB18" s="229"/>
      <c r="AC18" s="228"/>
      <c r="AD18" s="228"/>
      <c r="AE18" s="228"/>
      <c r="AF18" s="230"/>
      <c r="AG18" s="231" t="str">
        <f t="shared" si="3"/>
        <v/>
      </c>
      <c r="AH18" s="232" t="str">
        <f t="shared" si="4"/>
        <v/>
      </c>
      <c r="AI18" s="229" t="str">
        <f t="shared" si="5"/>
        <v/>
      </c>
      <c r="AJ18" s="232" t="str">
        <f t="shared" si="6"/>
        <v/>
      </c>
      <c r="AK18" s="229" t="str">
        <f>IFERROR(IF(Y18="Impacto",(T18-(+T18*AB18)),IF(Y18="Probabilidad",T17,"")),"")</f>
        <v/>
      </c>
      <c r="AL18" s="232" t="str">
        <f t="shared" si="7"/>
        <v/>
      </c>
      <c r="AM18" s="343"/>
      <c r="AN18" s="323">
        <v>2</v>
      </c>
      <c r="AO18" s="327"/>
      <c r="AP18" s="332"/>
      <c r="AQ18" s="334"/>
      <c r="AR18" s="334"/>
      <c r="AS18" s="334"/>
      <c r="AT18" s="233"/>
      <c r="AU18" s="233"/>
      <c r="AV18" s="233"/>
      <c r="AW18" s="233"/>
      <c r="AX18" s="233"/>
      <c r="AY18" s="233"/>
      <c r="AZ18" s="336"/>
      <c r="BA18" s="234"/>
      <c r="BB18" s="240"/>
      <c r="BC18" s="329"/>
      <c r="BD18" s="236"/>
      <c r="BE18" s="238"/>
      <c r="BF18" s="241"/>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row>
    <row r="19" spans="4:82" s="223" customFormat="1" ht="99.75" customHeight="1">
      <c r="D19" s="320">
        <v>3</v>
      </c>
      <c r="E19" s="322"/>
      <c r="F19" s="322"/>
      <c r="G19" s="324"/>
      <c r="H19" s="322"/>
      <c r="I19" s="326"/>
      <c r="J19" s="326"/>
      <c r="K19" s="326"/>
      <c r="L19" s="313"/>
      <c r="M19" s="315"/>
      <c r="N19" s="315"/>
      <c r="O19" s="346"/>
      <c r="P19" s="317" t="str">
        <f>IF(O19&lt;=0,"",IF(O19&lt;=2,"Muy Baja",IF(O19&lt;=24,"Baja",IF(O19&lt;=500,"Media",IF(O19&lt;=5000,"Alta","Muy Alta")))))</f>
        <v/>
      </c>
      <c r="Q19" s="338" t="str">
        <f t="shared" ref="Q19" si="10">IF(P19="","",IF(P19="Muy Baja",0.2,IF(P19="Baja",0.4,IF(P19="Media",0.6,IF(P19="Alta",0.8,IF(P19="Muy Alta",1,))))))</f>
        <v/>
      </c>
      <c r="R19" s="340"/>
      <c r="S19" s="317" t="str">
        <f>IFERROR(VLOOKUP(R19,Criterios[],2,FALSE),"")</f>
        <v/>
      </c>
      <c r="T19" s="338" t="str">
        <f t="shared" ref="T19" si="11">IF(S19="","",IF(S19="Leve",0.2,IF(S19="Menor",0.4,IF(S19="Moderado",0.6,IF(S19="Mayor",0.8,IF(S19="Catastrófico",1,))))))</f>
        <v/>
      </c>
      <c r="U19" s="317" t="str">
        <f t="shared" ref="U19" si="12">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
      </c>
      <c r="V19" s="224">
        <v>1</v>
      </c>
      <c r="W19" s="225"/>
      <c r="X19" s="226"/>
      <c r="Y19" s="227" t="str">
        <f t="shared" si="1"/>
        <v>Probabilidad</v>
      </c>
      <c r="Z19" s="228" t="s">
        <v>104</v>
      </c>
      <c r="AA19" s="228" t="s">
        <v>105</v>
      </c>
      <c r="AB19" s="229" t="str">
        <f t="shared" si="2"/>
        <v>40%</v>
      </c>
      <c r="AC19" s="228"/>
      <c r="AD19" s="228"/>
      <c r="AE19" s="228"/>
      <c r="AF19" s="230"/>
      <c r="AG19" s="231" t="str">
        <f t="shared" si="3"/>
        <v/>
      </c>
      <c r="AH19" s="232" t="str">
        <f t="shared" si="4"/>
        <v/>
      </c>
      <c r="AI19" s="229" t="str">
        <f t="shared" si="5"/>
        <v/>
      </c>
      <c r="AJ19" s="232" t="str">
        <f t="shared" si="6"/>
        <v>Leve</v>
      </c>
      <c r="AK19" s="229">
        <f t="shared" ref="AK19:AK32" si="13">IFERROR(IF(Y19="Impacto",(T19-(+T19*AB19)),IF(Y19="Probabilidad",T18,"")),"")</f>
        <v>0</v>
      </c>
      <c r="AL19" s="232" t="str">
        <f t="shared" si="7"/>
        <v/>
      </c>
      <c r="AM19" s="342" t="s">
        <v>75</v>
      </c>
      <c r="AN19" s="322">
        <v>1</v>
      </c>
      <c r="AO19" s="326"/>
      <c r="AP19" s="331"/>
      <c r="AQ19" s="333"/>
      <c r="AR19" s="333"/>
      <c r="AS19" s="333"/>
      <c r="AT19" s="233"/>
      <c r="AU19" s="233"/>
      <c r="AV19" s="233"/>
      <c r="AW19" s="233"/>
      <c r="AX19" s="233"/>
      <c r="AY19" s="233"/>
      <c r="AZ19" s="336"/>
      <c r="BA19" s="234"/>
      <c r="BB19" s="240"/>
      <c r="BC19" s="329"/>
      <c r="BD19" s="236"/>
      <c r="BE19" s="238"/>
      <c r="BF19" s="241"/>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row>
    <row r="20" spans="4:82" s="223" customFormat="1" ht="82.5" customHeight="1">
      <c r="D20" s="321"/>
      <c r="E20" s="323"/>
      <c r="F20" s="323"/>
      <c r="G20" s="325"/>
      <c r="H20" s="323"/>
      <c r="I20" s="327"/>
      <c r="J20" s="327"/>
      <c r="K20" s="434"/>
      <c r="L20" s="314"/>
      <c r="M20" s="316"/>
      <c r="N20" s="316"/>
      <c r="O20" s="347"/>
      <c r="P20" s="318"/>
      <c r="Q20" s="339"/>
      <c r="R20" s="341"/>
      <c r="S20" s="318"/>
      <c r="T20" s="339"/>
      <c r="U20" s="318"/>
      <c r="V20" s="239">
        <v>2</v>
      </c>
      <c r="W20" s="225"/>
      <c r="X20" s="226"/>
      <c r="Y20" s="227" t="str">
        <f t="shared" si="1"/>
        <v/>
      </c>
      <c r="Z20" s="228"/>
      <c r="AA20" s="228"/>
      <c r="AB20" s="229" t="str">
        <f t="shared" si="2"/>
        <v/>
      </c>
      <c r="AC20" s="228"/>
      <c r="AD20" s="228"/>
      <c r="AE20" s="228"/>
      <c r="AF20" s="230"/>
      <c r="AG20" s="231" t="str">
        <f t="shared" si="3"/>
        <v/>
      </c>
      <c r="AH20" s="232" t="str">
        <f t="shared" si="4"/>
        <v/>
      </c>
      <c r="AI20" s="229" t="str">
        <f t="shared" si="5"/>
        <v/>
      </c>
      <c r="AJ20" s="232" t="str">
        <f t="shared" si="6"/>
        <v/>
      </c>
      <c r="AK20" s="229" t="str">
        <f t="shared" si="13"/>
        <v/>
      </c>
      <c r="AL20" s="232" t="str">
        <f t="shared" si="7"/>
        <v/>
      </c>
      <c r="AM20" s="343"/>
      <c r="AN20" s="323"/>
      <c r="AO20" s="327"/>
      <c r="AP20" s="332"/>
      <c r="AQ20" s="334"/>
      <c r="AR20" s="334"/>
      <c r="AS20" s="334"/>
      <c r="AT20" s="233"/>
      <c r="AU20" s="233"/>
      <c r="AV20" s="233"/>
      <c r="AW20" s="233"/>
      <c r="AX20" s="233"/>
      <c r="AY20" s="233"/>
      <c r="AZ20" s="336"/>
      <c r="BA20" s="234"/>
      <c r="BB20" s="240"/>
      <c r="BC20" s="329"/>
      <c r="BD20" s="236"/>
      <c r="BE20" s="241"/>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row>
    <row r="21" spans="4:82" s="223" customFormat="1" ht="39.75" hidden="1" customHeight="1">
      <c r="D21" s="320">
        <v>4</v>
      </c>
      <c r="E21" s="322"/>
      <c r="F21" s="322"/>
      <c r="G21" s="324"/>
      <c r="H21" s="322"/>
      <c r="I21" s="326"/>
      <c r="J21" s="326"/>
      <c r="K21" s="326"/>
      <c r="L21" s="313"/>
      <c r="M21" s="315"/>
      <c r="N21" s="315"/>
      <c r="O21" s="313"/>
      <c r="P21" s="317" t="str">
        <f>IF(O21&lt;=0,"",IF(O21&lt;=2,"Muy Baja",IF(O21&lt;=24,"Baja",IF(O21&lt;=500,"Media",IF(O21&lt;=5000,"Alta","Muy Alta")))))</f>
        <v/>
      </c>
      <c r="Q21" s="338" t="str">
        <f t="shared" ref="Q21" si="14">IF(P21="","",IF(P21="Muy Baja",0.2,IF(P21="Baja",0.4,IF(P21="Media",0.6,IF(P21="Alta",0.8,IF(P21="Muy Alta",1,))))))</f>
        <v/>
      </c>
      <c r="R21" s="340"/>
      <c r="S21" s="317" t="str">
        <f>IFERROR(VLOOKUP(R21,Criterios[],2,FALSE),"")</f>
        <v/>
      </c>
      <c r="T21" s="338" t="str">
        <f t="shared" ref="T21" si="15">IF(S21="","",IF(S21="Leve",0.2,IF(S21="Menor",0.4,IF(S21="Moderado",0.6,IF(S21="Mayor",0.8,IF(S21="Catastrófico",1,))))))</f>
        <v/>
      </c>
      <c r="U21" s="317" t="str">
        <f t="shared" ref="U21" si="16">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
      </c>
      <c r="V21" s="224">
        <v>1</v>
      </c>
      <c r="W21" s="225"/>
      <c r="X21" s="226"/>
      <c r="Y21" s="227" t="str">
        <f t="shared" si="1"/>
        <v/>
      </c>
      <c r="Z21" s="228"/>
      <c r="AA21" s="228"/>
      <c r="AB21" s="229" t="str">
        <f t="shared" si="2"/>
        <v/>
      </c>
      <c r="AC21" s="228"/>
      <c r="AD21" s="228"/>
      <c r="AE21" s="228"/>
      <c r="AF21" s="230"/>
      <c r="AG21" s="231" t="str">
        <f t="shared" ref="AG21:AG32" si="17">IFERROR(IF(Y21="Probabilidad",(Q21-(+ Q21*AB21)),IF(Y21="Impacto",Q21,"")),"")</f>
        <v/>
      </c>
      <c r="AH21" s="232" t="str">
        <f t="shared" si="4"/>
        <v/>
      </c>
      <c r="AI21" s="229" t="str">
        <f t="shared" si="5"/>
        <v/>
      </c>
      <c r="AJ21" s="232" t="str">
        <f t="shared" si="6"/>
        <v/>
      </c>
      <c r="AK21" s="229" t="str">
        <f t="shared" si="13"/>
        <v/>
      </c>
      <c r="AL21" s="232" t="str">
        <f t="shared" si="7"/>
        <v/>
      </c>
      <c r="AM21" s="342" t="s">
        <v>75</v>
      </c>
      <c r="AN21" s="224">
        <v>1</v>
      </c>
      <c r="AO21" s="326"/>
      <c r="AP21" s="331"/>
      <c r="AQ21" s="333"/>
      <c r="AR21" s="333"/>
      <c r="AS21" s="333"/>
      <c r="AT21" s="233"/>
      <c r="AU21" s="233"/>
      <c r="AV21" s="233"/>
      <c r="AW21" s="233"/>
      <c r="AX21" s="233"/>
      <c r="AY21" s="233"/>
      <c r="AZ21" s="336"/>
      <c r="BA21" s="242"/>
      <c r="BB21" s="242"/>
      <c r="BC21" s="329"/>
      <c r="BD21" s="236"/>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row>
    <row r="22" spans="4:82" s="223" customFormat="1" ht="39.75" hidden="1" customHeight="1">
      <c r="D22" s="321"/>
      <c r="E22" s="323"/>
      <c r="F22" s="323"/>
      <c r="G22" s="325"/>
      <c r="H22" s="323"/>
      <c r="I22" s="327"/>
      <c r="J22" s="327"/>
      <c r="K22" s="327"/>
      <c r="L22" s="314"/>
      <c r="M22" s="316"/>
      <c r="N22" s="316"/>
      <c r="O22" s="314"/>
      <c r="P22" s="318"/>
      <c r="Q22" s="339"/>
      <c r="R22" s="341"/>
      <c r="S22" s="318"/>
      <c r="T22" s="339"/>
      <c r="U22" s="318"/>
      <c r="V22" s="239">
        <v>2</v>
      </c>
      <c r="W22" s="225"/>
      <c r="X22" s="226"/>
      <c r="Y22" s="227" t="str">
        <f t="shared" si="1"/>
        <v/>
      </c>
      <c r="Z22" s="228"/>
      <c r="AA22" s="228"/>
      <c r="AB22" s="229" t="str">
        <f t="shared" si="2"/>
        <v/>
      </c>
      <c r="AC22" s="228"/>
      <c r="AD22" s="228"/>
      <c r="AE22" s="228"/>
      <c r="AF22" s="230"/>
      <c r="AG22" s="231" t="str">
        <f t="shared" si="17"/>
        <v/>
      </c>
      <c r="AH22" s="232" t="str">
        <f t="shared" si="4"/>
        <v/>
      </c>
      <c r="AI22" s="229" t="str">
        <f t="shared" si="5"/>
        <v/>
      </c>
      <c r="AJ22" s="232" t="str">
        <f t="shared" si="6"/>
        <v/>
      </c>
      <c r="AK22" s="229" t="str">
        <f t="shared" si="13"/>
        <v/>
      </c>
      <c r="AL22" s="232" t="str">
        <f t="shared" si="7"/>
        <v/>
      </c>
      <c r="AM22" s="343"/>
      <c r="AN22" s="239">
        <v>2</v>
      </c>
      <c r="AO22" s="327"/>
      <c r="AP22" s="332"/>
      <c r="AQ22" s="334"/>
      <c r="AR22" s="334"/>
      <c r="AS22" s="334"/>
      <c r="AT22" s="233"/>
      <c r="AU22" s="233"/>
      <c r="AV22" s="233"/>
      <c r="AW22" s="233"/>
      <c r="AX22" s="233"/>
      <c r="AY22" s="233"/>
      <c r="AZ22" s="336"/>
      <c r="BA22" s="242"/>
      <c r="BB22" s="242"/>
      <c r="BC22" s="329"/>
      <c r="BD22" s="236"/>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row>
    <row r="23" spans="4:82" s="183" customFormat="1" ht="58.5" hidden="1" customHeight="1">
      <c r="D23" s="368">
        <v>5</v>
      </c>
      <c r="E23" s="354"/>
      <c r="F23" s="354"/>
      <c r="G23" s="356"/>
      <c r="H23" s="354"/>
      <c r="I23" s="358"/>
      <c r="J23" s="358"/>
      <c r="K23" s="326"/>
      <c r="L23" s="348"/>
      <c r="M23" s="366"/>
      <c r="N23" s="366"/>
      <c r="O23" s="348"/>
      <c r="P23" s="350" t="str">
        <f t="shared" ref="P23:P31" si="18">IF(O23&lt;=0,"",IF(O23&lt;=2,"Muy Baja",IF(O23&lt;=24,"Baja",IF(O23&lt;=500,"Media",IF(O23&lt;=5000,"Alta","Muy Alta")))))</f>
        <v/>
      </c>
      <c r="Q23" s="352" t="str">
        <f t="shared" ref="Q23" si="19">IF(P23="","",IF(P23="Muy Baja",0.2,IF(P23="Baja",0.4,IF(P23="Media",0.6,IF(P23="Alta",0.8,IF(P23="Muy Alta",1,))))))</f>
        <v/>
      </c>
      <c r="R23" s="372"/>
      <c r="S23" s="317" t="str">
        <f>IFERROR(VLOOKUP(R23,Criterios[],2,FALSE),"")</f>
        <v/>
      </c>
      <c r="T23" s="338" t="str">
        <f t="shared" ref="T23" si="20">IF(S23="","",IF(S23="Leve",0.2,IF(S23="Menor",0.4,IF(S23="Moderado",0.6,IF(S23="Mayor",0.8,IF(S23="Catastrófico",1,))))))</f>
        <v/>
      </c>
      <c r="U23" s="317" t="str">
        <f t="shared" ref="U23" si="21">IF(OR(AND(P23="Muy Baja",S23="Leve"),AND(P23="Muy Baja",S23="Menor"),AND(P23="Baja",S23="Leve")),"Bajo",IF(OR(AND(P23="Muy baja",S23="Moderado"),AND(P23="Baja",S23="Menor"),AND(P23="Baja",S23="Moderado"),AND(P23="Media",S23="Leve"),AND(P23="Media",S23="Menor"),AND(P23="Media",S23="Moderado"),AND(P23="Alta",S23="Leve"),AND(P23="Alta",S23="Menor")),"Moderado",IF(OR(AND(P23="Muy Baja",S23="Mayor"),AND(P23="Baja",S23="Mayor"),AND(P23="Media",S23="Mayor"),AND(P23="Alta",S23="Moderado"),AND(P23="Alta",S23="Mayor"),AND(P23="Muy Alta",S23="Leve"),AND(P23="Muy Alta",S23="Menor"),AND(P23="Muy Alta",S23="Moderado"),AND(P23="Muy Alta",S23="Mayor")),"Alto",IF(OR(AND(P23="Muy Baja",S23="Catastrófico"),AND(P23="Baja",S23="Catastrófico"),AND(P23="Media",S23="Catastrófico"),AND(P23="Alta",S23="Catastrófico"),AND(P23="Muy Alta",S23="Catastrófico")),"Extremo",""))))</f>
        <v/>
      </c>
      <c r="V23" s="192">
        <v>1</v>
      </c>
      <c r="W23" s="193"/>
      <c r="X23" s="194"/>
      <c r="Y23" s="227" t="str">
        <f t="shared" si="1"/>
        <v/>
      </c>
      <c r="Z23" s="196"/>
      <c r="AA23" s="196"/>
      <c r="AB23" s="229" t="str">
        <f t="shared" si="2"/>
        <v/>
      </c>
      <c r="AC23" s="196"/>
      <c r="AD23" s="196"/>
      <c r="AE23" s="184"/>
      <c r="AF23" s="215"/>
      <c r="AG23" s="231" t="str">
        <f t="shared" si="17"/>
        <v/>
      </c>
      <c r="AH23" s="232" t="str">
        <f t="shared" si="4"/>
        <v/>
      </c>
      <c r="AI23" s="229" t="str">
        <f t="shared" si="5"/>
        <v/>
      </c>
      <c r="AJ23" s="232" t="str">
        <f t="shared" si="6"/>
        <v/>
      </c>
      <c r="AK23" s="229" t="str">
        <f t="shared" si="13"/>
        <v/>
      </c>
      <c r="AL23" s="232" t="str">
        <f t="shared" si="7"/>
        <v/>
      </c>
      <c r="AM23" s="360" t="s">
        <v>75</v>
      </c>
      <c r="AN23" s="192">
        <v>1</v>
      </c>
      <c r="AO23" s="358"/>
      <c r="AP23" s="362"/>
      <c r="AQ23" s="364"/>
      <c r="AR23" s="333"/>
      <c r="AS23" s="333"/>
      <c r="AT23" s="221"/>
      <c r="AU23" s="221"/>
      <c r="AV23" s="221"/>
      <c r="AW23" s="221"/>
      <c r="AX23" s="221"/>
      <c r="AY23" s="221"/>
      <c r="AZ23" s="336"/>
      <c r="BA23" s="219"/>
      <c r="BB23" s="219"/>
      <c r="BC23" s="329"/>
      <c r="BD23" s="222"/>
      <c r="BE23" s="185"/>
      <c r="BF23" s="185"/>
      <c r="BG23" s="185"/>
      <c r="BH23" s="185"/>
      <c r="BI23" s="185"/>
      <c r="BJ23" s="185"/>
      <c r="BK23" s="185"/>
      <c r="BL23" s="185"/>
      <c r="BM23" s="185"/>
      <c r="BN23" s="185"/>
      <c r="BO23" s="185"/>
      <c r="BP23" s="185"/>
      <c r="BQ23" s="185"/>
      <c r="BR23" s="185"/>
      <c r="BS23" s="185"/>
      <c r="BT23" s="185"/>
      <c r="BU23" s="185"/>
      <c r="BV23" s="185"/>
      <c r="BW23" s="185"/>
      <c r="BX23" s="185"/>
      <c r="BY23" s="185"/>
      <c r="BZ23" s="185"/>
      <c r="CA23" s="185"/>
      <c r="CB23" s="185"/>
      <c r="CC23" s="185"/>
      <c r="CD23" s="185"/>
    </row>
    <row r="24" spans="4:82" s="183" customFormat="1" ht="58.5" hidden="1" customHeight="1">
      <c r="D24" s="369"/>
      <c r="E24" s="355"/>
      <c r="F24" s="355"/>
      <c r="G24" s="357"/>
      <c r="H24" s="355"/>
      <c r="I24" s="359"/>
      <c r="J24" s="359"/>
      <c r="K24" s="327"/>
      <c r="L24" s="349"/>
      <c r="M24" s="367"/>
      <c r="N24" s="367"/>
      <c r="O24" s="349"/>
      <c r="P24" s="351"/>
      <c r="Q24" s="353"/>
      <c r="R24" s="373"/>
      <c r="S24" s="318"/>
      <c r="T24" s="339"/>
      <c r="U24" s="318"/>
      <c r="V24" s="200">
        <v>2</v>
      </c>
      <c r="W24" s="193"/>
      <c r="X24" s="194"/>
      <c r="Y24" s="227" t="str">
        <f t="shared" si="1"/>
        <v/>
      </c>
      <c r="Z24" s="196"/>
      <c r="AA24" s="196"/>
      <c r="AB24" s="229" t="str">
        <f t="shared" si="2"/>
        <v/>
      </c>
      <c r="AC24" s="196"/>
      <c r="AD24" s="196"/>
      <c r="AE24" s="184"/>
      <c r="AF24" s="215"/>
      <c r="AG24" s="231" t="str">
        <f t="shared" si="17"/>
        <v/>
      </c>
      <c r="AH24" s="232" t="str">
        <f t="shared" si="4"/>
        <v/>
      </c>
      <c r="AI24" s="229" t="str">
        <f t="shared" si="5"/>
        <v/>
      </c>
      <c r="AJ24" s="232" t="str">
        <f t="shared" si="6"/>
        <v/>
      </c>
      <c r="AK24" s="229" t="str">
        <f t="shared" si="13"/>
        <v/>
      </c>
      <c r="AL24" s="232" t="str">
        <f t="shared" si="7"/>
        <v/>
      </c>
      <c r="AM24" s="361"/>
      <c r="AN24" s="200">
        <v>2</v>
      </c>
      <c r="AO24" s="359"/>
      <c r="AP24" s="363"/>
      <c r="AQ24" s="365"/>
      <c r="AR24" s="334"/>
      <c r="AS24" s="334"/>
      <c r="AT24" s="221"/>
      <c r="AU24" s="221"/>
      <c r="AV24" s="221"/>
      <c r="AW24" s="221"/>
      <c r="AX24" s="221"/>
      <c r="AY24" s="221"/>
      <c r="AZ24" s="336"/>
      <c r="BA24" s="219"/>
      <c r="BB24" s="219"/>
      <c r="BC24" s="329"/>
      <c r="BD24" s="222"/>
      <c r="BE24" s="185"/>
      <c r="BF24" s="185"/>
      <c r="BG24" s="185"/>
      <c r="BH24" s="185"/>
      <c r="BI24" s="185"/>
      <c r="BJ24" s="185"/>
      <c r="BK24" s="185"/>
      <c r="BL24" s="185"/>
      <c r="BM24" s="185"/>
      <c r="BN24" s="185"/>
      <c r="BO24" s="185"/>
      <c r="BP24" s="185"/>
      <c r="BQ24" s="185"/>
      <c r="BR24" s="185"/>
      <c r="BS24" s="185"/>
      <c r="BT24" s="185"/>
      <c r="BU24" s="185"/>
      <c r="BV24" s="185"/>
      <c r="BW24" s="185"/>
      <c r="BX24" s="185"/>
      <c r="BY24" s="185"/>
      <c r="BZ24" s="185"/>
      <c r="CA24" s="185"/>
      <c r="CB24" s="185"/>
      <c r="CC24" s="185"/>
      <c r="CD24" s="185"/>
    </row>
    <row r="25" spans="4:82" s="183" customFormat="1" ht="39.75" hidden="1" customHeight="1">
      <c r="D25" s="370">
        <v>6</v>
      </c>
      <c r="E25" s="354"/>
      <c r="F25" s="354"/>
      <c r="G25" s="356"/>
      <c r="H25" s="354"/>
      <c r="I25" s="358"/>
      <c r="J25" s="358"/>
      <c r="K25" s="358"/>
      <c r="L25" s="348"/>
      <c r="M25" s="366"/>
      <c r="N25" s="366"/>
      <c r="O25" s="348"/>
      <c r="P25" s="350" t="str">
        <f t="shared" si="18"/>
        <v/>
      </c>
      <c r="Q25" s="352" t="str">
        <f t="shared" ref="Q25" si="22">IF(P25="","",IF(P25="Muy Baja",0.2,IF(P25="Baja",0.4,IF(P25="Media",0.6,IF(P25="Alta",0.8,IF(P25="Muy Alta",1,))))))</f>
        <v/>
      </c>
      <c r="R25" s="372"/>
      <c r="S25" s="317" t="str">
        <f>IFERROR(VLOOKUP(R25,Criterios[],2,FALSE),"")</f>
        <v/>
      </c>
      <c r="T25" s="338" t="str">
        <f t="shared" ref="T25" si="23">IF(S25="","",IF(S25="Leve",0.2,IF(S25="Menor",0.4,IF(S25="Moderado",0.6,IF(S25="Mayor",0.8,IF(S25="Catastrófico",1,))))))</f>
        <v/>
      </c>
      <c r="U25" s="317" t="str">
        <f t="shared" ref="U25" si="24">IF(OR(AND(P25="Muy Baja",S25="Leve"),AND(P25="Muy Baja",S25="Menor"),AND(P25="Baja",S25="Leve")),"Bajo",IF(OR(AND(P25="Muy baja",S25="Moderado"),AND(P25="Baja",S25="Menor"),AND(P25="Baja",S25="Moderado"),AND(P25="Media",S25="Leve"),AND(P25="Media",S25="Menor"),AND(P25="Media",S25="Moderado"),AND(P25="Alta",S25="Leve"),AND(P25="Alta",S25="Menor")),"Moderado",IF(OR(AND(P25="Muy Baja",S25="Mayor"),AND(P25="Baja",S25="Mayor"),AND(P25="Media",S25="Mayor"),AND(P25="Alta",S25="Moderado"),AND(P25="Alta",S25="Mayor"),AND(P25="Muy Alta",S25="Leve"),AND(P25="Muy Alta",S25="Menor"),AND(P25="Muy Alta",S25="Moderado"),AND(P25="Muy Alta",S25="Mayor")),"Alto",IF(OR(AND(P25="Muy Baja",S25="Catastrófico"),AND(P25="Baja",S25="Catastrófico"),AND(P25="Media",S25="Catastrófico"),AND(P25="Alta",S25="Catastrófico"),AND(P25="Muy Alta",S25="Catastrófico")),"Extremo",""))))</f>
        <v/>
      </c>
      <c r="V25" s="192">
        <v>1</v>
      </c>
      <c r="W25" s="193"/>
      <c r="X25" s="194"/>
      <c r="Y25" s="227" t="str">
        <f t="shared" si="1"/>
        <v/>
      </c>
      <c r="Z25" s="196"/>
      <c r="AA25" s="196"/>
      <c r="AB25" s="229" t="str">
        <f t="shared" si="2"/>
        <v/>
      </c>
      <c r="AC25" s="196"/>
      <c r="AD25" s="196"/>
      <c r="AE25" s="184"/>
      <c r="AF25" s="215"/>
      <c r="AG25" s="231" t="str">
        <f t="shared" si="17"/>
        <v/>
      </c>
      <c r="AH25" s="232" t="str">
        <f t="shared" si="4"/>
        <v/>
      </c>
      <c r="AI25" s="229" t="str">
        <f t="shared" si="5"/>
        <v/>
      </c>
      <c r="AJ25" s="232" t="str">
        <f t="shared" si="6"/>
        <v/>
      </c>
      <c r="AK25" s="229" t="str">
        <f t="shared" si="13"/>
        <v/>
      </c>
      <c r="AL25" s="232" t="str">
        <f t="shared" si="7"/>
        <v/>
      </c>
      <c r="AM25" s="360" t="s">
        <v>75</v>
      </c>
      <c r="AN25" s="192">
        <v>1</v>
      </c>
      <c r="AO25" s="358"/>
      <c r="AP25" s="362"/>
      <c r="AQ25" s="364"/>
      <c r="AR25" s="333"/>
      <c r="AS25" s="333"/>
      <c r="AT25" s="221"/>
      <c r="AU25" s="221"/>
      <c r="AV25" s="221"/>
      <c r="AW25" s="221"/>
      <c r="AX25" s="221"/>
      <c r="AY25" s="221"/>
      <c r="AZ25" s="336"/>
      <c r="BA25" s="219"/>
      <c r="BB25" s="219"/>
      <c r="BC25" s="329"/>
      <c r="BD25" s="222"/>
      <c r="BE25" s="185"/>
      <c r="BF25" s="185"/>
      <c r="BG25" s="185"/>
      <c r="BH25" s="185"/>
      <c r="BI25" s="185"/>
      <c r="BJ25" s="185"/>
      <c r="BK25" s="185"/>
      <c r="BL25" s="185"/>
      <c r="BM25" s="185"/>
      <c r="BN25" s="185"/>
      <c r="BO25" s="185"/>
      <c r="BP25" s="185"/>
      <c r="BQ25" s="185"/>
      <c r="BR25" s="185"/>
      <c r="BS25" s="185"/>
      <c r="BT25" s="185"/>
      <c r="BU25" s="185"/>
      <c r="BV25" s="185"/>
      <c r="BW25" s="185"/>
      <c r="BX25" s="185"/>
      <c r="BY25" s="185"/>
      <c r="BZ25" s="185"/>
      <c r="CA25" s="185"/>
      <c r="CB25" s="185"/>
      <c r="CC25" s="185"/>
      <c r="CD25" s="185"/>
    </row>
    <row r="26" spans="4:82" s="183" customFormat="1" ht="39.75" hidden="1" customHeight="1">
      <c r="D26" s="371"/>
      <c r="E26" s="355"/>
      <c r="F26" s="355"/>
      <c r="G26" s="357"/>
      <c r="H26" s="355"/>
      <c r="I26" s="359"/>
      <c r="J26" s="359"/>
      <c r="K26" s="359"/>
      <c r="L26" s="349"/>
      <c r="M26" s="367"/>
      <c r="N26" s="367"/>
      <c r="O26" s="349"/>
      <c r="P26" s="351"/>
      <c r="Q26" s="353"/>
      <c r="R26" s="373"/>
      <c r="S26" s="318"/>
      <c r="T26" s="339"/>
      <c r="U26" s="318"/>
      <c r="V26" s="200">
        <v>2</v>
      </c>
      <c r="W26" s="193"/>
      <c r="X26" s="194"/>
      <c r="Y26" s="227" t="str">
        <f t="shared" si="1"/>
        <v/>
      </c>
      <c r="Z26" s="196"/>
      <c r="AA26" s="196"/>
      <c r="AB26" s="229" t="str">
        <f t="shared" si="2"/>
        <v/>
      </c>
      <c r="AC26" s="196"/>
      <c r="AD26" s="196"/>
      <c r="AE26" s="184"/>
      <c r="AF26" s="215"/>
      <c r="AG26" s="231" t="str">
        <f t="shared" si="17"/>
        <v/>
      </c>
      <c r="AH26" s="232" t="str">
        <f t="shared" si="4"/>
        <v/>
      </c>
      <c r="AI26" s="229" t="str">
        <f t="shared" si="5"/>
        <v/>
      </c>
      <c r="AJ26" s="232" t="str">
        <f t="shared" si="6"/>
        <v/>
      </c>
      <c r="AK26" s="229" t="str">
        <f t="shared" si="13"/>
        <v/>
      </c>
      <c r="AL26" s="232" t="str">
        <f t="shared" si="7"/>
        <v/>
      </c>
      <c r="AM26" s="361"/>
      <c r="AN26" s="200">
        <v>2</v>
      </c>
      <c r="AO26" s="359"/>
      <c r="AP26" s="363"/>
      <c r="AQ26" s="365"/>
      <c r="AR26" s="334"/>
      <c r="AS26" s="334"/>
      <c r="AT26" s="221"/>
      <c r="AU26" s="221"/>
      <c r="AV26" s="221"/>
      <c r="AW26" s="221"/>
      <c r="AX26" s="221"/>
      <c r="AY26" s="221"/>
      <c r="AZ26" s="336"/>
      <c r="BA26" s="219"/>
      <c r="BB26" s="219"/>
      <c r="BC26" s="329"/>
      <c r="BD26" s="222"/>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c r="CA26" s="185"/>
      <c r="CB26" s="185"/>
      <c r="CC26" s="185"/>
      <c r="CD26" s="185"/>
    </row>
    <row r="27" spans="4:82" s="183" customFormat="1" ht="39.75" hidden="1" customHeight="1">
      <c r="D27" s="370">
        <v>7</v>
      </c>
      <c r="E27" s="354"/>
      <c r="F27" s="354"/>
      <c r="G27" s="356"/>
      <c r="H27" s="354"/>
      <c r="I27" s="358"/>
      <c r="J27" s="358"/>
      <c r="K27" s="358"/>
      <c r="L27" s="348"/>
      <c r="M27" s="366"/>
      <c r="N27" s="366"/>
      <c r="O27" s="348"/>
      <c r="P27" s="350" t="str">
        <f t="shared" si="18"/>
        <v/>
      </c>
      <c r="Q27" s="352" t="str">
        <f t="shared" ref="Q27" si="25">IF(P27="","",IF(P27="Muy Baja",0.2,IF(P27="Baja",0.4,IF(P27="Media",0.6,IF(P27="Alta",0.8,IF(P27="Muy Alta",1,))))))</f>
        <v/>
      </c>
      <c r="R27" s="372"/>
      <c r="S27" s="317" t="str">
        <f>IFERROR(VLOOKUP(R27,Criterios[],2,FALSE),"")</f>
        <v/>
      </c>
      <c r="T27" s="338" t="str">
        <f t="shared" ref="T27" si="26">IF(S27="","",IF(S27="Leve",0.2,IF(S27="Menor",0.4,IF(S27="Moderado",0.6,IF(S27="Mayor",0.8,IF(S27="Catastrófico",1,))))))</f>
        <v/>
      </c>
      <c r="U27" s="317" t="str">
        <f t="shared" ref="U27" si="27">IF(OR(AND(P27="Muy Baja",S27="Leve"),AND(P27="Muy Baja",S27="Menor"),AND(P27="Baja",S27="Leve")),"Bajo",IF(OR(AND(P27="Muy baja",S27="Moderado"),AND(P27="Baja",S27="Menor"),AND(P27="Baja",S27="Moderado"),AND(P27="Media",S27="Leve"),AND(P27="Media",S27="Menor"),AND(P27="Media",S27="Moderado"),AND(P27="Alta",S27="Leve"),AND(P27="Alta",S27="Menor")),"Moderado",IF(OR(AND(P27="Muy Baja",S27="Mayor"),AND(P27="Baja",S27="Mayor"),AND(P27="Media",S27="Mayor"),AND(P27="Alta",S27="Moderado"),AND(P27="Alta",S27="Mayor"),AND(P27="Muy Alta",S27="Leve"),AND(P27="Muy Alta",S27="Menor"),AND(P27="Muy Alta",S27="Moderado"),AND(P27="Muy Alta",S27="Mayor")),"Alto",IF(OR(AND(P27="Muy Baja",S27="Catastrófico"),AND(P27="Baja",S27="Catastrófico"),AND(P27="Media",S27="Catastrófico"),AND(P27="Alta",S27="Catastrófico"),AND(P27="Muy Alta",S27="Catastrófico")),"Extremo",""))))</f>
        <v/>
      </c>
      <c r="V27" s="192">
        <v>1</v>
      </c>
      <c r="W27" s="193"/>
      <c r="X27" s="194"/>
      <c r="Y27" s="227" t="str">
        <f t="shared" si="1"/>
        <v/>
      </c>
      <c r="Z27" s="196"/>
      <c r="AA27" s="196"/>
      <c r="AB27" s="229" t="str">
        <f t="shared" si="2"/>
        <v/>
      </c>
      <c r="AC27" s="196"/>
      <c r="AD27" s="196"/>
      <c r="AE27" s="184"/>
      <c r="AF27" s="215"/>
      <c r="AG27" s="231" t="str">
        <f t="shared" si="17"/>
        <v/>
      </c>
      <c r="AH27" s="232" t="str">
        <f t="shared" si="4"/>
        <v/>
      </c>
      <c r="AI27" s="229" t="str">
        <f t="shared" si="5"/>
        <v/>
      </c>
      <c r="AJ27" s="232" t="str">
        <f t="shared" si="6"/>
        <v/>
      </c>
      <c r="AK27" s="229" t="str">
        <f t="shared" si="13"/>
        <v/>
      </c>
      <c r="AL27" s="232" t="str">
        <f t="shared" si="7"/>
        <v/>
      </c>
      <c r="AM27" s="360" t="s">
        <v>75</v>
      </c>
      <c r="AN27" s="192">
        <v>1</v>
      </c>
      <c r="AO27" s="358"/>
      <c r="AP27" s="362"/>
      <c r="AQ27" s="364"/>
      <c r="AR27" s="333"/>
      <c r="AS27" s="364"/>
      <c r="AT27" s="221"/>
      <c r="AU27" s="221"/>
      <c r="AV27" s="221"/>
      <c r="AW27" s="221"/>
      <c r="AX27" s="221"/>
      <c r="AY27" s="221"/>
      <c r="AZ27" s="336"/>
      <c r="BA27" s="219"/>
      <c r="BB27" s="219"/>
      <c r="BC27" s="329"/>
      <c r="BD27" s="222"/>
      <c r="BE27" s="185"/>
      <c r="BF27" s="185"/>
      <c r="BG27" s="185"/>
      <c r="BH27" s="185"/>
      <c r="BI27" s="185"/>
      <c r="BJ27" s="185"/>
      <c r="BK27" s="185"/>
      <c r="BL27" s="185"/>
      <c r="BM27" s="185"/>
      <c r="BN27" s="185"/>
      <c r="BO27" s="185"/>
      <c r="BP27" s="185"/>
      <c r="BQ27" s="185"/>
      <c r="BR27" s="185"/>
      <c r="BS27" s="185"/>
      <c r="BT27" s="185"/>
      <c r="BU27" s="185"/>
      <c r="BV27" s="185"/>
      <c r="BW27" s="185"/>
      <c r="BX27" s="185"/>
      <c r="BY27" s="185"/>
      <c r="BZ27" s="185"/>
      <c r="CA27" s="185"/>
      <c r="CB27" s="185"/>
      <c r="CC27" s="185"/>
      <c r="CD27" s="185"/>
    </row>
    <row r="28" spans="4:82" s="183" customFormat="1" ht="39.75" hidden="1" customHeight="1">
      <c r="D28" s="371"/>
      <c r="E28" s="355"/>
      <c r="F28" s="355"/>
      <c r="G28" s="357"/>
      <c r="H28" s="355"/>
      <c r="I28" s="359"/>
      <c r="J28" s="359"/>
      <c r="K28" s="359"/>
      <c r="L28" s="349"/>
      <c r="M28" s="367"/>
      <c r="N28" s="367"/>
      <c r="O28" s="349"/>
      <c r="P28" s="351"/>
      <c r="Q28" s="353"/>
      <c r="R28" s="373"/>
      <c r="S28" s="318"/>
      <c r="T28" s="339"/>
      <c r="U28" s="318"/>
      <c r="V28" s="200">
        <v>2</v>
      </c>
      <c r="W28" s="193"/>
      <c r="X28" s="194"/>
      <c r="Y28" s="227" t="str">
        <f t="shared" si="1"/>
        <v/>
      </c>
      <c r="Z28" s="196"/>
      <c r="AA28" s="196"/>
      <c r="AB28" s="229" t="str">
        <f t="shared" si="2"/>
        <v/>
      </c>
      <c r="AC28" s="196"/>
      <c r="AD28" s="196"/>
      <c r="AE28" s="184"/>
      <c r="AF28" s="215"/>
      <c r="AG28" s="231" t="str">
        <f t="shared" si="17"/>
        <v/>
      </c>
      <c r="AH28" s="232" t="str">
        <f t="shared" si="4"/>
        <v/>
      </c>
      <c r="AI28" s="229" t="str">
        <f t="shared" si="5"/>
        <v/>
      </c>
      <c r="AJ28" s="232" t="str">
        <f t="shared" si="6"/>
        <v/>
      </c>
      <c r="AK28" s="229" t="str">
        <f t="shared" si="13"/>
        <v/>
      </c>
      <c r="AL28" s="232" t="str">
        <f t="shared" si="7"/>
        <v/>
      </c>
      <c r="AM28" s="361"/>
      <c r="AN28" s="200">
        <v>2</v>
      </c>
      <c r="AO28" s="359"/>
      <c r="AP28" s="363"/>
      <c r="AQ28" s="365"/>
      <c r="AR28" s="334"/>
      <c r="AS28" s="365"/>
      <c r="AT28" s="221"/>
      <c r="AU28" s="221"/>
      <c r="AV28" s="221"/>
      <c r="AW28" s="221"/>
      <c r="AX28" s="221"/>
      <c r="AY28" s="221"/>
      <c r="AZ28" s="336"/>
      <c r="BA28" s="219"/>
      <c r="BB28" s="219"/>
      <c r="BC28" s="329"/>
      <c r="BD28" s="222"/>
      <c r="BE28" s="185"/>
      <c r="BF28" s="185"/>
      <c r="BG28" s="185"/>
      <c r="BH28" s="185"/>
      <c r="BI28" s="185"/>
      <c r="BJ28" s="185"/>
      <c r="BK28" s="185"/>
      <c r="BL28" s="185"/>
      <c r="BM28" s="185"/>
      <c r="BN28" s="185"/>
      <c r="BO28" s="185"/>
      <c r="BP28" s="185"/>
      <c r="BQ28" s="185"/>
      <c r="BR28" s="185"/>
      <c r="BS28" s="185"/>
      <c r="BT28" s="185"/>
      <c r="BU28" s="185"/>
      <c r="BV28" s="185"/>
      <c r="BW28" s="185"/>
      <c r="BX28" s="185"/>
      <c r="BY28" s="185"/>
      <c r="BZ28" s="185"/>
      <c r="CA28" s="185"/>
      <c r="CB28" s="185"/>
      <c r="CC28" s="185"/>
      <c r="CD28" s="185"/>
    </row>
    <row r="29" spans="4:82" s="183" customFormat="1" ht="39.75" hidden="1" customHeight="1">
      <c r="D29" s="374">
        <v>8</v>
      </c>
      <c r="E29" s="354"/>
      <c r="F29" s="354"/>
      <c r="G29" s="356"/>
      <c r="H29" s="354"/>
      <c r="I29" s="358"/>
      <c r="J29" s="358"/>
      <c r="K29" s="358"/>
      <c r="L29" s="348"/>
      <c r="M29" s="366"/>
      <c r="N29" s="366"/>
      <c r="O29" s="348"/>
      <c r="P29" s="350" t="str">
        <f t="shared" si="18"/>
        <v/>
      </c>
      <c r="Q29" s="352" t="str">
        <f t="shared" ref="Q29" si="28">IF(P29="","",IF(P29="Muy Baja",0.2,IF(P29="Baja",0.4,IF(P29="Media",0.6,IF(P29="Alta",0.8,IF(P29="Muy Alta",1,))))))</f>
        <v/>
      </c>
      <c r="R29" s="372"/>
      <c r="S29" s="317" t="str">
        <f>IFERROR(VLOOKUP(R29,Criterios[],2,FALSE),"")</f>
        <v/>
      </c>
      <c r="T29" s="338" t="str">
        <f t="shared" ref="T29" si="29">IF(S29="","",IF(S29="Leve",0.2,IF(S29="Menor",0.4,IF(S29="Moderado",0.6,IF(S29="Mayor",0.8,IF(S29="Catastrófico",1,))))))</f>
        <v/>
      </c>
      <c r="U29" s="317" t="str">
        <f t="shared" ref="U29" si="30">IF(OR(AND(P29="Muy Baja",S29="Leve"),AND(P29="Muy Baja",S29="Menor"),AND(P29="Baja",S29="Leve")),"Bajo",IF(OR(AND(P29="Muy baja",S29="Moderado"),AND(P29="Baja",S29="Menor"),AND(P29="Baja",S29="Moderado"),AND(P29="Media",S29="Leve"),AND(P29="Media",S29="Menor"),AND(P29="Media",S29="Moderado"),AND(P29="Alta",S29="Leve"),AND(P29="Alta",S29="Menor")),"Moderado",IF(OR(AND(P29="Muy Baja",S29="Mayor"),AND(P29="Baja",S29="Mayor"),AND(P29="Media",S29="Mayor"),AND(P29="Alta",S29="Moderado"),AND(P29="Alta",S29="Mayor"),AND(P29="Muy Alta",S29="Leve"),AND(P29="Muy Alta",S29="Menor"),AND(P29="Muy Alta",S29="Moderado"),AND(P29="Muy Alta",S29="Mayor")),"Alto",IF(OR(AND(P29="Muy Baja",S29="Catastrófico"),AND(P29="Baja",S29="Catastrófico"),AND(P29="Media",S29="Catastrófico"),AND(P29="Alta",S29="Catastrófico"),AND(P29="Muy Alta",S29="Catastrófico")),"Extremo",""))))</f>
        <v/>
      </c>
      <c r="V29" s="192">
        <v>1</v>
      </c>
      <c r="W29" s="193"/>
      <c r="X29" s="194"/>
      <c r="Y29" s="227" t="str">
        <f t="shared" si="1"/>
        <v/>
      </c>
      <c r="Z29" s="196"/>
      <c r="AA29" s="196"/>
      <c r="AB29" s="229" t="str">
        <f t="shared" si="2"/>
        <v/>
      </c>
      <c r="AC29" s="196"/>
      <c r="AD29" s="196"/>
      <c r="AE29" s="184"/>
      <c r="AF29" s="215"/>
      <c r="AG29" s="231" t="str">
        <f t="shared" si="17"/>
        <v/>
      </c>
      <c r="AH29" s="232" t="str">
        <f t="shared" si="4"/>
        <v/>
      </c>
      <c r="AI29" s="229" t="str">
        <f t="shared" si="5"/>
        <v/>
      </c>
      <c r="AJ29" s="232" t="str">
        <f t="shared" si="6"/>
        <v/>
      </c>
      <c r="AK29" s="229" t="str">
        <f t="shared" si="13"/>
        <v/>
      </c>
      <c r="AL29" s="232" t="str">
        <f t="shared" si="7"/>
        <v/>
      </c>
      <c r="AM29" s="360" t="s">
        <v>75</v>
      </c>
      <c r="AN29" s="192">
        <v>1</v>
      </c>
      <c r="AO29" s="358"/>
      <c r="AP29" s="362"/>
      <c r="AQ29" s="364"/>
      <c r="AR29" s="333"/>
      <c r="AS29" s="364"/>
      <c r="AT29" s="221"/>
      <c r="AU29" s="221"/>
      <c r="AV29" s="221"/>
      <c r="AW29" s="221"/>
      <c r="AX29" s="221"/>
      <c r="AY29" s="221"/>
      <c r="AZ29" s="336"/>
      <c r="BA29" s="219"/>
      <c r="BB29" s="219"/>
      <c r="BC29" s="329"/>
      <c r="BD29" s="222"/>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row>
    <row r="30" spans="4:82" s="183" customFormat="1" ht="39.75" hidden="1" customHeight="1">
      <c r="D30" s="375"/>
      <c r="E30" s="355"/>
      <c r="F30" s="355"/>
      <c r="G30" s="357"/>
      <c r="H30" s="355"/>
      <c r="I30" s="359"/>
      <c r="J30" s="359"/>
      <c r="K30" s="359"/>
      <c r="L30" s="349"/>
      <c r="M30" s="367"/>
      <c r="N30" s="367"/>
      <c r="O30" s="349"/>
      <c r="P30" s="351"/>
      <c r="Q30" s="353"/>
      <c r="R30" s="373"/>
      <c r="S30" s="318"/>
      <c r="T30" s="339"/>
      <c r="U30" s="318"/>
      <c r="V30" s="200">
        <v>2</v>
      </c>
      <c r="W30" s="193"/>
      <c r="X30" s="194"/>
      <c r="Y30" s="227" t="str">
        <f t="shared" si="1"/>
        <v/>
      </c>
      <c r="Z30" s="196"/>
      <c r="AA30" s="196"/>
      <c r="AB30" s="229" t="str">
        <f t="shared" si="2"/>
        <v/>
      </c>
      <c r="AC30" s="196"/>
      <c r="AD30" s="196"/>
      <c r="AE30" s="184"/>
      <c r="AF30" s="215"/>
      <c r="AG30" s="231" t="str">
        <f t="shared" si="17"/>
        <v/>
      </c>
      <c r="AH30" s="232" t="str">
        <f t="shared" si="4"/>
        <v/>
      </c>
      <c r="AI30" s="229" t="str">
        <f t="shared" si="5"/>
        <v/>
      </c>
      <c r="AJ30" s="232" t="str">
        <f t="shared" si="6"/>
        <v/>
      </c>
      <c r="AK30" s="229" t="str">
        <f t="shared" si="13"/>
        <v/>
      </c>
      <c r="AL30" s="232" t="str">
        <f t="shared" si="7"/>
        <v/>
      </c>
      <c r="AM30" s="361"/>
      <c r="AN30" s="200">
        <v>2</v>
      </c>
      <c r="AO30" s="359"/>
      <c r="AP30" s="363"/>
      <c r="AQ30" s="365"/>
      <c r="AR30" s="334"/>
      <c r="AS30" s="365"/>
      <c r="AT30" s="221"/>
      <c r="AU30" s="221"/>
      <c r="AV30" s="221"/>
      <c r="AW30" s="221"/>
      <c r="AX30" s="221"/>
      <c r="AY30" s="221"/>
      <c r="AZ30" s="336"/>
      <c r="BA30" s="219"/>
      <c r="BB30" s="219"/>
      <c r="BC30" s="329"/>
      <c r="BD30" s="222"/>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row>
    <row r="31" spans="4:82" s="183" customFormat="1" ht="39.75" hidden="1" customHeight="1">
      <c r="D31" s="368">
        <v>9</v>
      </c>
      <c r="E31" s="354"/>
      <c r="F31" s="354"/>
      <c r="G31" s="356"/>
      <c r="H31" s="354"/>
      <c r="I31" s="358"/>
      <c r="J31" s="358"/>
      <c r="K31" s="358"/>
      <c r="L31" s="348"/>
      <c r="M31" s="366"/>
      <c r="N31" s="366"/>
      <c r="O31" s="348"/>
      <c r="P31" s="350" t="str">
        <f t="shared" si="18"/>
        <v/>
      </c>
      <c r="Q31" s="352" t="str">
        <f t="shared" ref="Q31" si="31">IF(P31="","",IF(P31="Muy Baja",0.2,IF(P31="Baja",0.4,IF(P31="Media",0.6,IF(P31="Alta",0.8,IF(P31="Muy Alta",1,))))))</f>
        <v/>
      </c>
      <c r="R31" s="372"/>
      <c r="S31" s="317" t="str">
        <f>IFERROR(VLOOKUP(R31,Criterios[],2,FALSE),"")</f>
        <v/>
      </c>
      <c r="T31" s="338" t="str">
        <f t="shared" ref="T31" si="32">IF(S31="","",IF(S31="Leve",0.2,IF(S31="Menor",0.4,IF(S31="Moderado",0.6,IF(S31="Mayor",0.8,IF(S31="Catastrófico",1,))))))</f>
        <v/>
      </c>
      <c r="U31" s="317" t="str">
        <f t="shared" ref="U31" si="33">IF(OR(AND(P31="Muy Baja",S31="Leve"),AND(P31="Muy Baja",S31="Menor"),AND(P31="Baja",S31="Leve")),"Bajo",IF(OR(AND(P31="Muy baja",S31="Moderado"),AND(P31="Baja",S31="Menor"),AND(P31="Baja",S31="Moderado"),AND(P31="Media",S31="Leve"),AND(P31="Media",S31="Menor"),AND(P31="Media",S31="Moderado"),AND(P31="Alta",S31="Leve"),AND(P31="Alta",S31="Menor")),"Moderado",IF(OR(AND(P31="Muy Baja",S31="Mayor"),AND(P31="Baja",S31="Mayor"),AND(P31="Media",S31="Mayor"),AND(P31="Alta",S31="Moderado"),AND(P31="Alta",S31="Mayor"),AND(P31="Muy Alta",S31="Leve"),AND(P31="Muy Alta",S31="Menor"),AND(P31="Muy Alta",S31="Moderado"),AND(P31="Muy Alta",S31="Mayor")),"Alto",IF(OR(AND(P31="Muy Baja",S31="Catastrófico"),AND(P31="Baja",S31="Catastrófico"),AND(P31="Media",S31="Catastrófico"),AND(P31="Alta",S31="Catastrófico"),AND(P31="Muy Alta",S31="Catastrófico")),"Extremo",""))))</f>
        <v/>
      </c>
      <c r="V31" s="192">
        <v>1</v>
      </c>
      <c r="W31" s="193"/>
      <c r="X31" s="194"/>
      <c r="Y31" s="227" t="str">
        <f t="shared" si="1"/>
        <v/>
      </c>
      <c r="Z31" s="196"/>
      <c r="AA31" s="196"/>
      <c r="AB31" s="229" t="str">
        <f t="shared" si="2"/>
        <v/>
      </c>
      <c r="AC31" s="196"/>
      <c r="AD31" s="196"/>
      <c r="AE31" s="184"/>
      <c r="AF31" s="215"/>
      <c r="AG31" s="231" t="str">
        <f t="shared" si="17"/>
        <v/>
      </c>
      <c r="AH31" s="232" t="str">
        <f t="shared" si="4"/>
        <v/>
      </c>
      <c r="AI31" s="229" t="str">
        <f t="shared" si="5"/>
        <v/>
      </c>
      <c r="AJ31" s="232" t="str">
        <f t="shared" si="6"/>
        <v/>
      </c>
      <c r="AK31" s="229" t="str">
        <f t="shared" si="13"/>
        <v/>
      </c>
      <c r="AL31" s="232" t="str">
        <f t="shared" si="7"/>
        <v/>
      </c>
      <c r="AM31" s="360" t="s">
        <v>75</v>
      </c>
      <c r="AN31" s="192">
        <v>1</v>
      </c>
      <c r="AO31" s="358"/>
      <c r="AP31" s="362"/>
      <c r="AQ31" s="364"/>
      <c r="AR31" s="333"/>
      <c r="AS31" s="364"/>
      <c r="AT31" s="221"/>
      <c r="AU31" s="221"/>
      <c r="AV31" s="221"/>
      <c r="AW31" s="221"/>
      <c r="AX31" s="221"/>
      <c r="AY31" s="221"/>
      <c r="AZ31" s="336"/>
      <c r="BA31" s="219"/>
      <c r="BB31" s="219"/>
      <c r="BC31" s="329"/>
      <c r="BD31" s="222"/>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row>
    <row r="32" spans="4:82" s="183" customFormat="1" ht="39.75" hidden="1" customHeight="1">
      <c r="D32" s="369"/>
      <c r="E32" s="355"/>
      <c r="F32" s="355"/>
      <c r="G32" s="357"/>
      <c r="H32" s="355"/>
      <c r="I32" s="359"/>
      <c r="J32" s="359"/>
      <c r="K32" s="359"/>
      <c r="L32" s="349"/>
      <c r="M32" s="367"/>
      <c r="N32" s="367"/>
      <c r="O32" s="349"/>
      <c r="P32" s="351"/>
      <c r="Q32" s="353"/>
      <c r="R32" s="373"/>
      <c r="S32" s="318"/>
      <c r="T32" s="339"/>
      <c r="U32" s="318"/>
      <c r="V32" s="200">
        <v>2</v>
      </c>
      <c r="W32" s="193"/>
      <c r="X32" s="194"/>
      <c r="Y32" s="227" t="str">
        <f t="shared" si="1"/>
        <v/>
      </c>
      <c r="Z32" s="196"/>
      <c r="AA32" s="196"/>
      <c r="AB32" s="229" t="str">
        <f t="shared" si="2"/>
        <v/>
      </c>
      <c r="AC32" s="196"/>
      <c r="AD32" s="196"/>
      <c r="AE32" s="184"/>
      <c r="AF32" s="217"/>
      <c r="AG32" s="231" t="str">
        <f t="shared" si="17"/>
        <v/>
      </c>
      <c r="AH32" s="232" t="str">
        <f t="shared" si="4"/>
        <v/>
      </c>
      <c r="AI32" s="229"/>
      <c r="AJ32" s="232" t="str">
        <f t="shared" si="6"/>
        <v/>
      </c>
      <c r="AK32" s="229" t="str">
        <f t="shared" si="13"/>
        <v/>
      </c>
      <c r="AL32" s="232" t="str">
        <f t="shared" si="7"/>
        <v/>
      </c>
      <c r="AM32" s="361"/>
      <c r="AN32" s="200">
        <v>2</v>
      </c>
      <c r="AO32" s="359"/>
      <c r="AP32" s="363"/>
      <c r="AQ32" s="365"/>
      <c r="AR32" s="334"/>
      <c r="AS32" s="365"/>
      <c r="AT32" s="221"/>
      <c r="AU32" s="221"/>
      <c r="AV32" s="221"/>
      <c r="AW32" s="221"/>
      <c r="AX32" s="221"/>
      <c r="AY32" s="221"/>
      <c r="AZ32" s="337"/>
      <c r="BA32" s="219"/>
      <c r="BB32" s="219"/>
      <c r="BC32" s="330"/>
      <c r="BD32" s="222"/>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row>
    <row r="33" spans="4:60" ht="49.5" customHeight="1">
      <c r="D33" s="186"/>
      <c r="E33" s="187"/>
      <c r="F33" s="187"/>
      <c r="G33" s="187"/>
      <c r="H33" s="187"/>
      <c r="I33" s="384" t="s">
        <v>76</v>
      </c>
      <c r="J33" s="384"/>
      <c r="K33" s="384"/>
      <c r="L33" s="384"/>
      <c r="M33" s="384"/>
      <c r="N33" s="384"/>
      <c r="O33" s="384"/>
      <c r="P33" s="384"/>
      <c r="Q33" s="384"/>
      <c r="R33" s="384"/>
      <c r="S33" s="384"/>
      <c r="T33" s="384"/>
      <c r="U33" s="384"/>
      <c r="V33" s="384"/>
      <c r="W33" s="384"/>
      <c r="X33" s="384"/>
      <c r="Y33" s="384"/>
      <c r="Z33" s="384"/>
      <c r="AA33" s="384"/>
      <c r="AB33" s="384"/>
      <c r="AC33" s="384"/>
      <c r="AD33" s="384"/>
      <c r="AE33" s="384"/>
      <c r="AF33" s="384"/>
      <c r="AG33" s="384"/>
      <c r="AH33" s="384"/>
      <c r="AI33" s="384"/>
      <c r="AJ33" s="384"/>
      <c r="AK33" s="384"/>
      <c r="AL33" s="384"/>
      <c r="AM33" s="384"/>
      <c r="AN33" s="384"/>
      <c r="AO33" s="384"/>
      <c r="AP33" s="384"/>
      <c r="AQ33" s="384"/>
      <c r="AR33" s="384"/>
      <c r="AS33" s="384"/>
      <c r="AT33" s="384"/>
      <c r="AU33" s="384"/>
      <c r="AV33" s="384"/>
      <c r="AW33" s="384"/>
      <c r="AX33" s="384"/>
      <c r="AY33" s="384"/>
    </row>
    <row r="35" spans="4:60" ht="15.75">
      <c r="D35" s="104"/>
      <c r="E35" s="105"/>
      <c r="F35" s="105"/>
      <c r="G35" s="105"/>
      <c r="H35" s="105"/>
      <c r="I35" s="105"/>
      <c r="J35" s="105"/>
      <c r="K35" s="105"/>
      <c r="L35" s="169"/>
      <c r="M35" s="169"/>
      <c r="N35" s="169"/>
      <c r="P35" s="106"/>
      <c r="Q35" s="105"/>
      <c r="R35" s="105"/>
      <c r="S35" s="105"/>
      <c r="T35" s="105"/>
      <c r="U35" s="105"/>
      <c r="V35" s="105"/>
      <c r="W35" s="105"/>
      <c r="X35" s="105"/>
      <c r="Y35" s="107"/>
      <c r="Z35" s="107"/>
      <c r="AA35" s="105"/>
      <c r="AB35" s="105"/>
      <c r="AC35" s="105"/>
      <c r="AD35" s="105"/>
      <c r="AE35" s="105"/>
      <c r="AF35" s="105"/>
      <c r="AG35" s="105"/>
      <c r="AH35" s="105"/>
      <c r="AI35" s="105"/>
      <c r="AJ35" s="105"/>
      <c r="AK35" s="105"/>
      <c r="AL35" s="105"/>
      <c r="AM35" s="108"/>
      <c r="AN35" s="108"/>
      <c r="AO35" s="108"/>
      <c r="AP35" s="105"/>
      <c r="AQ35" s="105"/>
      <c r="AR35" s="105"/>
      <c r="AS35" s="105"/>
      <c r="AT35" s="105"/>
      <c r="AU35" s="105"/>
      <c r="AV35" s="105"/>
      <c r="AW35" s="105"/>
      <c r="AX35" s="105"/>
      <c r="AY35" s="105"/>
      <c r="AZ35" s="105"/>
      <c r="BA35" s="105"/>
    </row>
    <row r="36" spans="4:60" ht="18">
      <c r="D36" s="380" t="s">
        <v>140</v>
      </c>
      <c r="E36" s="380"/>
      <c r="F36" s="380"/>
      <c r="G36" s="380"/>
      <c r="H36" s="380"/>
      <c r="I36" s="380"/>
      <c r="J36" s="380"/>
      <c r="K36" s="380"/>
      <c r="L36" s="169"/>
      <c r="M36" s="169"/>
      <c r="N36" s="169"/>
      <c r="O36" s="381"/>
      <c r="P36" s="382"/>
      <c r="Q36" s="382"/>
      <c r="R36" s="383"/>
      <c r="S36" s="105"/>
      <c r="T36" s="105"/>
      <c r="U36" s="105"/>
      <c r="V36" s="105"/>
      <c r="W36" s="105"/>
      <c r="X36" s="108"/>
      <c r="Y36" s="107"/>
      <c r="Z36" s="107"/>
      <c r="AA36" s="105"/>
      <c r="AB36" s="107"/>
      <c r="AC36" s="107"/>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H36" s="169" t="s">
        <v>78</v>
      </c>
    </row>
    <row r="37" spans="4:60" ht="15" thickBot="1">
      <c r="D37" s="169"/>
      <c r="E37" s="169"/>
      <c r="F37" s="169"/>
      <c r="G37" s="169"/>
      <c r="H37" s="169"/>
      <c r="I37" s="169"/>
      <c r="J37" s="169"/>
      <c r="L37" s="169"/>
      <c r="M37" s="169"/>
      <c r="N37" s="169"/>
      <c r="P37" s="171" t="str">
        <f>+IFERROR(VLOOKUP(L37,$L$192:$P$196,3,FALSE)*VLOOKUP(O37,$O$192:$P$196,3,FALSE),"")</f>
        <v/>
      </c>
      <c r="Y37" s="171"/>
      <c r="Z37" s="188"/>
      <c r="AB37" s="188"/>
      <c r="AC37" s="188"/>
      <c r="AD37" s="189"/>
      <c r="AE37" s="189"/>
      <c r="AF37" s="189"/>
      <c r="AG37" s="189"/>
      <c r="AH37" s="189"/>
      <c r="AI37" s="109"/>
      <c r="AJ37" s="109"/>
      <c r="AK37" s="189"/>
      <c r="AL37" s="190"/>
      <c r="AQ37" s="189"/>
      <c r="AR37" s="189"/>
      <c r="AY37" s="189"/>
      <c r="AZ37" s="189"/>
      <c r="BH37" s="169" t="s">
        <v>79</v>
      </c>
    </row>
    <row r="38" spans="4:60" ht="17.850000000000001" customHeight="1" thickTop="1" thickBot="1">
      <c r="D38" s="379" t="s">
        <v>80</v>
      </c>
      <c r="E38" s="379"/>
      <c r="F38" s="379"/>
      <c r="G38" s="379"/>
      <c r="H38" s="379"/>
      <c r="I38" s="379"/>
      <c r="J38" s="379"/>
      <c r="K38" s="208" t="s">
        <v>81</v>
      </c>
      <c r="L38" s="379" t="s">
        <v>82</v>
      </c>
      <c r="M38" s="379"/>
      <c r="N38" s="379"/>
      <c r="O38" s="379"/>
      <c r="P38" s="379"/>
      <c r="Q38" s="379"/>
      <c r="R38" s="379"/>
      <c r="S38" s="376" t="s">
        <v>83</v>
      </c>
      <c r="T38" s="376"/>
      <c r="U38" s="376"/>
      <c r="V38" s="379" t="s">
        <v>84</v>
      </c>
      <c r="W38" s="379"/>
      <c r="X38" s="379"/>
      <c r="Y38" s="379"/>
      <c r="Z38" s="376">
        <v>1</v>
      </c>
      <c r="AA38" s="376"/>
      <c r="AB38" s="376"/>
      <c r="AC38" s="376"/>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0"/>
      <c r="BH38" s="169" t="s">
        <v>85</v>
      </c>
    </row>
    <row r="39" spans="4:60" ht="13.5" customHeight="1" thickTop="1">
      <c r="D39" s="377" t="s">
        <v>86</v>
      </c>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BH39" s="169" t="s">
        <v>87</v>
      </c>
    </row>
  </sheetData>
  <protectedRanges>
    <protectedRange sqref="P1:P1048576" name="Rango1_2"/>
  </protectedRanges>
  <mergeCells count="296">
    <mergeCell ref="AN15:AN16"/>
    <mergeCell ref="AT15:AT16"/>
    <mergeCell ref="AN17:AN18"/>
    <mergeCell ref="AN19:AN20"/>
    <mergeCell ref="U21:U22"/>
    <mergeCell ref="AM21:AM22"/>
    <mergeCell ref="AO21:AO22"/>
    <mergeCell ref="AP21:AP22"/>
    <mergeCell ref="AQ21:AQ22"/>
    <mergeCell ref="AS21:AS22"/>
    <mergeCell ref="AS19:AS20"/>
    <mergeCell ref="AQ29:AQ30"/>
    <mergeCell ref="Q29:Q30"/>
    <mergeCell ref="G29:G30"/>
    <mergeCell ref="H29:H30"/>
    <mergeCell ref="O21:O22"/>
    <mergeCell ref="P21:P22"/>
    <mergeCell ref="AR15:AR16"/>
    <mergeCell ref="AR17:AR18"/>
    <mergeCell ref="AR19:AR20"/>
    <mergeCell ref="AR21:AR22"/>
    <mergeCell ref="S21:S22"/>
    <mergeCell ref="T21:T22"/>
    <mergeCell ref="AP19:AP20"/>
    <mergeCell ref="AQ19:AQ20"/>
    <mergeCell ref="P19:P20"/>
    <mergeCell ref="Q19:Q20"/>
    <mergeCell ref="R19:R20"/>
    <mergeCell ref="S19:S20"/>
    <mergeCell ref="T19:T20"/>
    <mergeCell ref="U19:U20"/>
    <mergeCell ref="R21:R22"/>
    <mergeCell ref="Q21:Q22"/>
    <mergeCell ref="AP17:AP18"/>
    <mergeCell ref="Q15:Q16"/>
    <mergeCell ref="AR27:AR28"/>
    <mergeCell ref="K27:K28"/>
    <mergeCell ref="L27:L28"/>
    <mergeCell ref="Z38:AC38"/>
    <mergeCell ref="D39:AC39"/>
    <mergeCell ref="D36:K36"/>
    <mergeCell ref="O36:R36"/>
    <mergeCell ref="D38:J38"/>
    <mergeCell ref="L38:R38"/>
    <mergeCell ref="S38:U38"/>
    <mergeCell ref="V38:Y38"/>
    <mergeCell ref="AM31:AM32"/>
    <mergeCell ref="AO31:AO32"/>
    <mergeCell ref="AP31:AP32"/>
    <mergeCell ref="AQ31:AQ32"/>
    <mergeCell ref="D31:D32"/>
    <mergeCell ref="E31:E32"/>
    <mergeCell ref="F31:F32"/>
    <mergeCell ref="G31:G32"/>
    <mergeCell ref="H31:H32"/>
    <mergeCell ref="U29:U30"/>
    <mergeCell ref="AM29:AM30"/>
    <mergeCell ref="AO29:AO30"/>
    <mergeCell ref="AP29:AP30"/>
    <mergeCell ref="AS31:AS32"/>
    <mergeCell ref="I33:AY33"/>
    <mergeCell ref="AR31:AR32"/>
    <mergeCell ref="P31:P32"/>
    <mergeCell ref="Q31:Q32"/>
    <mergeCell ref="R31:R32"/>
    <mergeCell ref="S31:S32"/>
    <mergeCell ref="T31:T32"/>
    <mergeCell ref="U31:U32"/>
    <mergeCell ref="J31:J32"/>
    <mergeCell ref="K31:K32"/>
    <mergeCell ref="L31:L32"/>
    <mergeCell ref="M31:M32"/>
    <mergeCell ref="N31:N32"/>
    <mergeCell ref="O31:O32"/>
    <mergeCell ref="I31:I32"/>
    <mergeCell ref="N27:N28"/>
    <mergeCell ref="O27:O28"/>
    <mergeCell ref="AM27:AM28"/>
    <mergeCell ref="AO27:AO28"/>
    <mergeCell ref="R29:R30"/>
    <mergeCell ref="S29:S30"/>
    <mergeCell ref="T29:T30"/>
    <mergeCell ref="AP27:AP28"/>
    <mergeCell ref="P27:P28"/>
    <mergeCell ref="Q27:Q28"/>
    <mergeCell ref="R27:R28"/>
    <mergeCell ref="S27:S28"/>
    <mergeCell ref="T27:T28"/>
    <mergeCell ref="AQ27:AQ28"/>
    <mergeCell ref="D27:D28"/>
    <mergeCell ref="E27:E28"/>
    <mergeCell ref="AS29:AS30"/>
    <mergeCell ref="AR29:AR30"/>
    <mergeCell ref="O29:O30"/>
    <mergeCell ref="P29:P30"/>
    <mergeCell ref="F27:F28"/>
    <mergeCell ref="G27:G28"/>
    <mergeCell ref="H27:H28"/>
    <mergeCell ref="I27:I28"/>
    <mergeCell ref="I29:I30"/>
    <mergeCell ref="J29:J30"/>
    <mergeCell ref="K29:K30"/>
    <mergeCell ref="L29:L30"/>
    <mergeCell ref="M29:M30"/>
    <mergeCell ref="N29:N30"/>
    <mergeCell ref="AS27:AS28"/>
    <mergeCell ref="D29:D30"/>
    <mergeCell ref="E29:E30"/>
    <mergeCell ref="F29:F30"/>
    <mergeCell ref="U27:U28"/>
    <mergeCell ref="J27:J28"/>
    <mergeCell ref="M27:M28"/>
    <mergeCell ref="AS23:AS24"/>
    <mergeCell ref="T23:T24"/>
    <mergeCell ref="U23:U24"/>
    <mergeCell ref="P23:P24"/>
    <mergeCell ref="Q23:Q24"/>
    <mergeCell ref="U25:U26"/>
    <mergeCell ref="AM25:AM26"/>
    <mergeCell ref="AO25:AO26"/>
    <mergeCell ref="AP25:AP26"/>
    <mergeCell ref="AQ25:AQ26"/>
    <mergeCell ref="AR23:AR24"/>
    <mergeCell ref="AM23:AM24"/>
    <mergeCell ref="AO23:AO24"/>
    <mergeCell ref="AP23:AP24"/>
    <mergeCell ref="AQ23:AQ24"/>
    <mergeCell ref="AS25:AS26"/>
    <mergeCell ref="AR25:AR26"/>
    <mergeCell ref="R23:R24"/>
    <mergeCell ref="S23:S24"/>
    <mergeCell ref="O25:O26"/>
    <mergeCell ref="P25:P26"/>
    <mergeCell ref="Q25:Q26"/>
    <mergeCell ref="R25:R26"/>
    <mergeCell ref="S25:S26"/>
    <mergeCell ref="T25:T26"/>
    <mergeCell ref="I25:I26"/>
    <mergeCell ref="J25:J26"/>
    <mergeCell ref="K25:K26"/>
    <mergeCell ref="L25:L26"/>
    <mergeCell ref="M25:M26"/>
    <mergeCell ref="N25:N26"/>
    <mergeCell ref="D25:D26"/>
    <mergeCell ref="E25:E26"/>
    <mergeCell ref="F25:F26"/>
    <mergeCell ref="G25:G26"/>
    <mergeCell ref="H25:H26"/>
    <mergeCell ref="D21:D22"/>
    <mergeCell ref="E21:E22"/>
    <mergeCell ref="F21:F22"/>
    <mergeCell ref="G21:G22"/>
    <mergeCell ref="H21:H22"/>
    <mergeCell ref="E23:E24"/>
    <mergeCell ref="F23:F24"/>
    <mergeCell ref="G23:G24"/>
    <mergeCell ref="H23:H24"/>
    <mergeCell ref="J23:J24"/>
    <mergeCell ref="K23:K24"/>
    <mergeCell ref="L23:L24"/>
    <mergeCell ref="M23:M24"/>
    <mergeCell ref="N23:N24"/>
    <mergeCell ref="O23:O24"/>
    <mergeCell ref="D23:D24"/>
    <mergeCell ref="I23:I24"/>
    <mergeCell ref="J19:J20"/>
    <mergeCell ref="K19:K20"/>
    <mergeCell ref="L19:L20"/>
    <mergeCell ref="M19:M20"/>
    <mergeCell ref="N19:N20"/>
    <mergeCell ref="O19:O20"/>
    <mergeCell ref="D19:D20"/>
    <mergeCell ref="E19:E20"/>
    <mergeCell ref="F19:F20"/>
    <mergeCell ref="G19:G20"/>
    <mergeCell ref="H19:H20"/>
    <mergeCell ref="I19:I20"/>
    <mergeCell ref="I21:I22"/>
    <mergeCell ref="J21:J22"/>
    <mergeCell ref="K21:K22"/>
    <mergeCell ref="L21:L22"/>
    <mergeCell ref="M21:M22"/>
    <mergeCell ref="N21:N22"/>
    <mergeCell ref="S17:S18"/>
    <mergeCell ref="T17:T18"/>
    <mergeCell ref="U17:U18"/>
    <mergeCell ref="AM17:AM18"/>
    <mergeCell ref="AO17:AO18"/>
    <mergeCell ref="AM19:AM20"/>
    <mergeCell ref="AO19:AO20"/>
    <mergeCell ref="M17:M18"/>
    <mergeCell ref="N17:N18"/>
    <mergeCell ref="O17:O18"/>
    <mergeCell ref="P17:P18"/>
    <mergeCell ref="Q17:Q18"/>
    <mergeCell ref="R17:R18"/>
    <mergeCell ref="BC15:BC32"/>
    <mergeCell ref="D17:D18"/>
    <mergeCell ref="E17:E18"/>
    <mergeCell ref="F17:F18"/>
    <mergeCell ref="G17:G18"/>
    <mergeCell ref="H17:H18"/>
    <mergeCell ref="I17:I18"/>
    <mergeCell ref="J17:J18"/>
    <mergeCell ref="K17:K18"/>
    <mergeCell ref="L17:L18"/>
    <mergeCell ref="AO15:AO16"/>
    <mergeCell ref="AP15:AP16"/>
    <mergeCell ref="AQ15:AQ16"/>
    <mergeCell ref="AS15:AS16"/>
    <mergeCell ref="AZ15:AZ32"/>
    <mergeCell ref="AQ17:AQ18"/>
    <mergeCell ref="AS17:AS18"/>
    <mergeCell ref="R15:R16"/>
    <mergeCell ref="S15:S16"/>
    <mergeCell ref="T15:T16"/>
    <mergeCell ref="U15:U16"/>
    <mergeCell ref="AM15:AM16"/>
    <mergeCell ref="K15:K16"/>
    <mergeCell ref="L15:L16"/>
    <mergeCell ref="M15:M16"/>
    <mergeCell ref="N15:N16"/>
    <mergeCell ref="O15:O16"/>
    <mergeCell ref="P15:P16"/>
    <mergeCell ref="BC13:BC14"/>
    <mergeCell ref="BD13:BD14"/>
    <mergeCell ref="D15:D16"/>
    <mergeCell ref="E15:E16"/>
    <mergeCell ref="F15:F16"/>
    <mergeCell ref="G15:G16"/>
    <mergeCell ref="H15:H16"/>
    <mergeCell ref="I15:I16"/>
    <mergeCell ref="J15:J16"/>
    <mergeCell ref="AV13:AV14"/>
    <mergeCell ref="AW13:AW14"/>
    <mergeCell ref="AX13:AX14"/>
    <mergeCell ref="AY13:AY14"/>
    <mergeCell ref="AZ13:AZ14"/>
    <mergeCell ref="BA13:BA14"/>
    <mergeCell ref="AP13:AP14"/>
    <mergeCell ref="AQ13:AQ14"/>
    <mergeCell ref="AS13:AS14"/>
    <mergeCell ref="AT13:AT14"/>
    <mergeCell ref="AU13:AU14"/>
    <mergeCell ref="Y13:Y14"/>
    <mergeCell ref="Z13:AE13"/>
    <mergeCell ref="AG13:AG14"/>
    <mergeCell ref="AH13:AH14"/>
    <mergeCell ref="AI13:AI14"/>
    <mergeCell ref="AF12:AF14"/>
    <mergeCell ref="AG12:AM12"/>
    <mergeCell ref="AM13:AM14"/>
    <mergeCell ref="AK13:AK14"/>
    <mergeCell ref="AL13:AL14"/>
    <mergeCell ref="V13:V14"/>
    <mergeCell ref="W13:W14"/>
    <mergeCell ref="K13:K14"/>
    <mergeCell ref="L13:L14"/>
    <mergeCell ref="M13:N13"/>
    <mergeCell ref="O13:O14"/>
    <mergeCell ref="P13:P14"/>
    <mergeCell ref="Q13:Q14"/>
    <mergeCell ref="X13:X14"/>
    <mergeCell ref="A11:C11"/>
    <mergeCell ref="AZ11:BB12"/>
    <mergeCell ref="BC11:BD12"/>
    <mergeCell ref="D12:O12"/>
    <mergeCell ref="P12:U12"/>
    <mergeCell ref="V12:AE12"/>
    <mergeCell ref="AN13:AN14"/>
    <mergeCell ref="AO13:AO14"/>
    <mergeCell ref="BB13:BB14"/>
    <mergeCell ref="AO12:AR12"/>
    <mergeCell ref="AS11:AY12"/>
    <mergeCell ref="AR13:AR14"/>
    <mergeCell ref="D13:D14"/>
    <mergeCell ref="E13:E14"/>
    <mergeCell ref="F13:F14"/>
    <mergeCell ref="G13:G14"/>
    <mergeCell ref="H13:H14"/>
    <mergeCell ref="I13:I14"/>
    <mergeCell ref="J13:J14"/>
    <mergeCell ref="AJ13:AJ14"/>
    <mergeCell ref="R13:R14"/>
    <mergeCell ref="S13:S14"/>
    <mergeCell ref="T13:T14"/>
    <mergeCell ref="U13:U14"/>
    <mergeCell ref="D2:H5"/>
    <mergeCell ref="I2:BC5"/>
    <mergeCell ref="D7:G7"/>
    <mergeCell ref="H7:BD7"/>
    <mergeCell ref="D8:G8"/>
    <mergeCell ref="H8:BD8"/>
    <mergeCell ref="D11:AR11"/>
    <mergeCell ref="D9:G9"/>
    <mergeCell ref="H9:BD9"/>
  </mergeCells>
  <conditionalFormatting sqref="P15 AH15:AH32 P17 P19 P21 P23 P25 P27 P29 P31">
    <cfRule type="cellIs" dxfId="105" priority="15" operator="equal">
      <formula>"Muy Alta"</formula>
    </cfRule>
    <cfRule type="cellIs" dxfId="104" priority="16" operator="equal">
      <formula>"Alta"</formula>
    </cfRule>
    <cfRule type="cellIs" dxfId="103" priority="17" operator="equal">
      <formula>"Media"</formula>
    </cfRule>
    <cfRule type="cellIs" dxfId="102" priority="18" operator="equal">
      <formula>"Baja"</formula>
    </cfRule>
    <cfRule type="cellIs" dxfId="101" priority="19" operator="equal">
      <formula>"Muy Baja"</formula>
    </cfRule>
  </conditionalFormatting>
  <conditionalFormatting sqref="S15 AJ15:AJ32 S17 S19 S21 S23 S25 S27 S29 S31">
    <cfRule type="cellIs" dxfId="100" priority="10" operator="equal">
      <formula>"Catastrófico"</formula>
    </cfRule>
    <cfRule type="cellIs" dxfId="99" priority="11" operator="equal">
      <formula>"Mayor"</formula>
    </cfRule>
    <cfRule type="cellIs" dxfId="98" priority="12" operator="equal">
      <formula>"Moderado"</formula>
    </cfRule>
    <cfRule type="cellIs" dxfId="97" priority="13" operator="equal">
      <formula>"Menor"</formula>
    </cfRule>
    <cfRule type="cellIs" dxfId="96" priority="14" operator="equal">
      <formula>"Leve"</formula>
    </cfRule>
  </conditionalFormatting>
  <conditionalFormatting sqref="U15 AL15:AL32 U17 U19 U21 U23 U25 U27 U29 U31">
    <cfRule type="cellIs" dxfId="95" priority="6" operator="equal">
      <formula>"Extremo"</formula>
    </cfRule>
    <cfRule type="cellIs" dxfId="94" priority="7" operator="equal">
      <formula>"Alto"</formula>
    </cfRule>
    <cfRule type="cellIs" dxfId="93" priority="8" operator="equal">
      <formula>"Moderado"</formula>
    </cfRule>
    <cfRule type="cellIs" dxfId="92" priority="9" operator="equal">
      <formula>"Bajo"</formula>
    </cfRule>
  </conditionalFormatting>
  <conditionalFormatting sqref="AI35:AI37">
    <cfRule type="cellIs" dxfId="91" priority="2" operator="equal">
      <formula>#REF!</formula>
    </cfRule>
    <cfRule type="cellIs" dxfId="90" priority="3" operator="equal">
      <formula>#REF!</formula>
    </cfRule>
  </conditionalFormatting>
  <conditionalFormatting sqref="AI35:AJ37">
    <cfRule type="cellIs" dxfId="89" priority="1" stopIfTrue="1" operator="equal">
      <formula>#REF!</formula>
    </cfRule>
  </conditionalFormatting>
  <conditionalFormatting sqref="AJ35:AJ37">
    <cfRule type="cellIs" dxfId="88" priority="4" stopIfTrue="1" operator="equal">
      <formula>#REF!</formula>
    </cfRule>
    <cfRule type="cellIs" dxfId="87" priority="5" stopIfTrue="1" operator="equal">
      <formula>#REF!</formula>
    </cfRule>
  </conditionalFormatting>
  <dataValidations count="10">
    <dataValidation allowBlank="1" showInputMessage="1" sqref="AR15:AR32" xr:uid="{D0C50706-7993-48A3-A501-0C3593A3D3F8}"/>
    <dataValidation type="list" allowBlank="1" showInputMessage="1" showErrorMessage="1" sqref="R15:R32" xr:uid="{93836D2E-889F-4436-98D6-B1696FEDE50F}">
      <formula1>Criterios_Impacto</formula1>
    </dataValidation>
    <dataValidation type="custom" allowBlank="1" showInputMessage="1" showErrorMessage="1" error="Recuerde que las acciones se generan bajo la medida de mitigar el riesgo" sqref="AP15 AP31 AP29 AP27 AP25 AP23 AP21 AP19 AP17" xr:uid="{D7D39DD0-73DD-4CE3-8A3E-85E80B687167}"/>
    <dataValidation type="list" allowBlank="1" showInputMessage="1" showErrorMessage="1" error="Recuerde que las acciones se generan bajo la medida de mitigar el riesgo" sqref="AY15:AY20" xr:uid="{F4962F39-8842-4BD4-865D-20C336F5DDE3}">
      <formula1>$BH$36:$BH$39</formula1>
    </dataValidation>
    <dataValidation type="list" allowBlank="1" showInputMessage="1" showErrorMessage="1" sqref="AB37:AH37 Z37 AQ37:AR37 AY37:AZ37" xr:uid="{B075035F-91F2-47D2-9418-4315BE182AC9}">
      <formula1>$AQ$192:$AQ$199</formula1>
    </dataValidation>
    <dataValidation type="list" allowBlank="1" showInputMessage="1" showErrorMessage="1" sqref="L37:N37" xr:uid="{C0109B44-5B16-4562-A4B3-F661D58C81B9}">
      <formula1>$L$192:$L$196</formula1>
    </dataValidation>
    <dataValidation type="list" allowBlank="1" showInputMessage="1" showErrorMessage="1" sqref="O37" xr:uid="{509FE761-996B-4456-A63B-310D885CCF2D}">
      <formula1>$O$192:$O$196</formula1>
    </dataValidation>
    <dataValidation type="list" allowBlank="1" showInputMessage="1" showErrorMessage="1" sqref="Y37" xr:uid="{D423AF20-D2EC-4FAE-BC1F-0021A892156C}">
      <formula1>$R$192:$R$193</formula1>
    </dataValidation>
    <dataValidation type="list" allowBlank="1" showInputMessage="1" showErrorMessage="1" sqref="K37 AI37:AJ37" xr:uid="{24CAA365-6539-443C-BAAC-792413DFCC47}">
      <formula1>#REF!</formula1>
    </dataValidation>
    <dataValidation type="list" allowBlank="1" showInputMessage="1" showErrorMessage="1" sqref="K35" xr:uid="{B96C1C66-331C-4244-ACB1-AF5A340ADDDF}">
      <formula1>$K$192:$K$201</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4">
        <x14:dataValidation type="list" allowBlank="1" showInputMessage="1" showErrorMessage="1" error="Recuerde que las acciones se generan bajo la medida de mitigar el riesgo" xr:uid="{4C856406-7072-4761-8BBA-4826AECAE920}">
          <x14:formula1>
            <xm:f>Formulas!$H$3:$H$4</xm:f>
          </x14:formula1>
          <xm:sqref>AT15 AT17:AT32</xm:sqref>
        </x14:dataValidation>
        <x14:dataValidation type="custom" allowBlank="1" showInputMessage="1" showErrorMessage="1" error="Recuerde que las acciones se generan bajo la medida de mitigar el riesgo" xr:uid="{99C27012-0FD2-4C61-87FC-FC81F9F26A64}">
          <x14:formula1>
            <xm:f>IF(OR(AM16='Opciones Tratamiento'!$B$2,AM16='Opciones Tratamiento'!$B$3,AM16='Opciones Tratamiento'!$B$4),ISBLANK(AM16),ISTEXT(AM16))</xm:f>
          </x14:formula1>
          <xm:sqref>AQ31 AQ29 AQ27 AQ25 AQ23 AQ19 AQ21 AU21 AQ15 AU19 AU17 AU31 AU29 AU27 AU25 AU23 AQ17</xm:sqref>
        </x14:dataValidation>
        <x14:dataValidation type="list" allowBlank="1" showInputMessage="1" showErrorMessage="1" xr:uid="{11199B69-23B1-4DD3-A045-7C8A3C9D0E6A}">
          <x14:formula1>
            <xm:f>Formulas!$E$3:$E$5</xm:f>
          </x14:formula1>
          <xm:sqref>G15:G16</xm:sqref>
        </x14:dataValidation>
        <x14:dataValidation type="list" allowBlank="1" showInputMessage="1" showErrorMessage="1" xr:uid="{8A81CFC4-E430-41F6-B2A2-A6C0CB3D9EAD}">
          <x14:formula1>
            <xm:f>Formulas!$D$3:$D$6</xm:f>
          </x14:formula1>
          <xm:sqref>F15:F32</xm:sqref>
        </x14:dataValidation>
        <x14:dataValidation type="list" allowBlank="1" showInputMessage="1" showErrorMessage="1" xr:uid="{264D225E-79B7-43AB-BD52-0C1DA6EA3840}">
          <x14:formula1>
            <xm:f>Formulas!$B$3:$B$6</xm:f>
          </x14:formula1>
          <xm:sqref>E15:E16</xm:sqref>
        </x14:dataValidation>
        <x14:dataValidation type="custom" allowBlank="1" showInputMessage="1" showErrorMessage="1" error="Recuerde que las acciones se generan bajo la medida de mitigar el riesgo" xr:uid="{A4B365A0-AA92-494F-B7C1-3D67F6D897F1}">
          <x14:formula1>
            <xm:f>IF(OR(AQ21='Opciones Tratamiento'!$B$2,AQ21='Opciones Tratamiento'!$B$3,AQ21='Opciones Tratamiento'!$B$4),ISBLANK(AQ21),ISTEXT(AQ21))</xm:f>
          </x14:formula1>
          <xm:sqref>BA21:BA32</xm:sqref>
        </x14:dataValidation>
        <x14:dataValidation type="custom" allowBlank="1" showInputMessage="1" showErrorMessage="1" error="Recuerde que las acciones se generan bajo la medida de mitigar el riesgo" xr:uid="{3EC25A4D-1BA0-4CA1-8840-7ACF87EC4E4C}">
          <x14:formula1>
            <xm:f>IF(OR(#REF!='Opciones Tratamiento'!$B$2,#REF!='Opciones Tratamiento'!$B$3,#REF!='Opciones Tratamiento'!$B$4),ISBLANK(#REF!),ISTEXT(#REF!))</xm:f>
          </x14:formula1>
          <xm:sqref>BD15:BD32 BC15</xm:sqref>
        </x14:dataValidation>
        <x14:dataValidation type="list" allowBlank="1" showInputMessage="1" showErrorMessage="1" xr:uid="{764F0915-5038-4E77-B52F-16B96BE2631F}">
          <x14:formula1>
            <xm:f>'Tabla Valoración controles'!$D$13:$D$14</xm:f>
          </x14:formula1>
          <xm:sqref>AE15:AE32</xm:sqref>
        </x14:dataValidation>
        <x14:dataValidation type="list" allowBlank="1" showInputMessage="1" showErrorMessage="1" xr:uid="{6ABC011D-DF0B-48F5-8429-8E91B50BDF04}">
          <x14:formula1>
            <xm:f>'Tabla Valoración controles'!$D$11:$D$12</xm:f>
          </x14:formula1>
          <xm:sqref>AD15:AD32</xm:sqref>
        </x14:dataValidation>
        <x14:dataValidation type="list" allowBlank="1" showInputMessage="1" showErrorMessage="1" xr:uid="{F829106E-8594-4DDA-8C2E-DA7F23922B6C}">
          <x14:formula1>
            <xm:f>'Tabla Valoración controles'!$D$9:$D$10</xm:f>
          </x14:formula1>
          <xm:sqref>AC15:AC32</xm:sqref>
        </x14:dataValidation>
        <x14:dataValidation type="list" allowBlank="1" showInputMessage="1" showErrorMessage="1" xr:uid="{D8506C1A-D410-45C3-BEEB-C78CA0342840}">
          <x14:formula1>
            <xm:f>'Tabla Valoración controles'!$D$7:$D$8</xm:f>
          </x14:formula1>
          <xm:sqref>AA15:AA32</xm:sqref>
        </x14:dataValidation>
        <x14:dataValidation type="list" allowBlank="1" showInputMessage="1" showErrorMessage="1" xr:uid="{3B913D68-EA64-43D6-BA3C-09282F1BA498}">
          <x14:formula1>
            <xm:f>'Tabla Valoración controles'!$D$4:$D$6</xm:f>
          </x14:formula1>
          <xm:sqref>Z15:Z32</xm:sqref>
        </x14:dataValidation>
        <x14:dataValidation type="custom" allowBlank="1" showInputMessage="1" showErrorMessage="1" error="Recuerde que las acciones se generan bajo la medida de mitigar el riesgo" xr:uid="{584C3745-A678-4EAF-8151-3A13A643DFDB}">
          <x14:formula1>
            <xm:f>IF(OR(AM16='Opciones Tratamiento'!$B$2,AM16='Opciones Tratamiento'!$B$3,AM16='Opciones Tratamiento'!$B$4),ISBLANK(AM16),ISTEXT(AM16))</xm:f>
          </x14:formula1>
          <xm:sqref>AS31 AS29 AS15 AS27 AS23 AS25 AS21 AS17 AS19</xm:sqref>
        </x14:dataValidation>
        <x14:dataValidation type="list" allowBlank="1" showInputMessage="1" showErrorMessage="1" xr:uid="{89A65B2C-AAC3-43E5-BE6B-483E56613706}">
          <x14:formula1>
            <xm:f>Formulas!$E$3:$E$23</xm:f>
          </x14:formula1>
          <xm:sqref>G17:G32</xm:sqref>
        </x14:dataValidation>
        <x14:dataValidation type="list" allowBlank="1" showInputMessage="1" showErrorMessage="1" xr:uid="{0B79E43C-ACF5-493D-8CF5-F4FC3AF12C28}">
          <x14:formula1>
            <xm:f>Formulas!$B$3:$B$18</xm:f>
          </x14:formula1>
          <xm:sqref>E17:E32</xm:sqref>
        </x14:dataValidation>
        <x14:dataValidation type="list" allowBlank="1" showInputMessage="1" showErrorMessage="1" xr:uid="{CA349E7F-6279-4640-946C-E8C22100B8A9}">
          <x14:formula1>
            <xm:f>Listas!$D$2:$D$5</xm:f>
          </x14:formula1>
          <xm:sqref>N17:N32 N15</xm:sqref>
        </x14:dataValidation>
        <x14:dataValidation type="list" allowBlank="1" showInputMessage="1" showErrorMessage="1" xr:uid="{0185B436-0B04-4587-9C68-FC54E7024026}">
          <x14:formula1>
            <xm:f>Listas!$C$2:$C$6</xm:f>
          </x14:formula1>
          <xm:sqref>M17:M32 M15</xm:sqref>
        </x14:dataValidation>
        <x14:dataValidation type="list" allowBlank="1" showInputMessage="1" showErrorMessage="1" xr:uid="{EDC78A1C-37DD-4D43-968C-87537549FC2F}">
          <x14:formula1>
            <xm:f>Listas!$B$2:$B$7</xm:f>
          </x14:formula1>
          <xm:sqref>H15 H17:H32</xm:sqref>
        </x14:dataValidation>
        <x14:dataValidation type="custom" allowBlank="1" showInputMessage="1" showErrorMessage="1" error="Recuerde que las acciones se generan bajo la medida de mitigar el riesgo" xr:uid="{4F6D4F28-671F-4761-9162-1608F8CB6D24}">
          <x14:formula1>
            <xm:f>IF(OR(AM21='Opciones Tratamiento'!$B$2,AM21='Opciones Tratamiento'!$B$3,AM21='Opciones Tratamiento'!$B$4),ISBLANK(AM21),ISTEXT(AM21))</xm:f>
          </x14:formula1>
          <xm:sqref>AY21:AY32</xm:sqref>
        </x14:dataValidation>
        <x14:dataValidation type="list" allowBlank="1" showInputMessage="1" showErrorMessage="1" xr:uid="{3D166C65-1DE6-4506-BE4A-6EF243F5E1AF}">
          <x14:formula1>
            <xm:f>'Opciones Tratamiento'!$B$2:$B$5</xm:f>
          </x14:formula1>
          <xm:sqref>AM27 AM25 AM23 AM15 AM19 AM17 AM31 AM29 AM21</xm:sqref>
        </x14:dataValidation>
        <x14:dataValidation type="list" allowBlank="1" showInputMessage="1" showErrorMessage="1" xr:uid="{22782245-9377-4927-8113-B642EA3A617C}">
          <x14:formula1>
            <xm:f>'Opciones Tratamiento'!$B$13:$B$19</xm:f>
          </x14:formula1>
          <xm:sqref>L15 L17:L32</xm:sqref>
        </x14:dataValidation>
        <x14:dataValidation type="list" allowBlank="1" showInputMessage="1" showErrorMessage="1" xr:uid="{2127C481-4EE9-4585-8456-5533696C0999}">
          <x14:formula1>
            <xm:f>'Opciones Tratamiento'!$B$9:$B$10</xm:f>
          </x14:formula1>
          <xm:sqref>BB21:BB32</xm:sqref>
        </x14:dataValidation>
        <x14:dataValidation type="custom" allowBlank="1" showInputMessage="1" showErrorMessage="1" error="Recuerde que las acciones se generan bajo la medida de mitigar el riesgo" xr:uid="{88BEE216-F556-476C-96BB-EAA185227694}">
          <x14:formula1>
            <xm:f>IF(OR(AP16='Opciones Tratamiento'!$B$2,AP16='Opciones Tratamiento'!$B$3,AP16='Opciones Tratamiento'!$B$4),ISBLANK(AP16),ISTEXT(AP16))</xm:f>
          </x14:formula1>
          <xm:sqref>AU18 AU16 AU15:AX15 AU32 AU30 AU28 AU26 AU24 AU22 AU20</xm:sqref>
        </x14:dataValidation>
        <x14:dataValidation type="custom" allowBlank="1" showInputMessage="1" showErrorMessage="1" error="Recuerde que las acciones se generan bajo la medida de mitigar el riesgo" xr:uid="{68B0D17B-D71C-412E-9D94-2DAFEA78C6DC}">
          <x14:formula1>
            <xm:f>IF(OR(AQ17='Opciones Tratamiento'!$B$2,AQ17='Opciones Tratamiento'!$B$3,AQ17='Opciones Tratamiento'!$B$4),ISBLANK(AQ17),ISTEXT(AQ17))</xm:f>
          </x14:formula1>
          <xm:sqref>AV17:AX32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D48C5-6E64-4E32-BD23-0E73107B9764}">
  <dimension ref="A1:CD39"/>
  <sheetViews>
    <sheetView topLeftCell="AF14" zoomScale="80" zoomScaleNormal="80" workbookViewId="0">
      <selection activeCell="AU19" sqref="AU19"/>
    </sheetView>
  </sheetViews>
  <sheetFormatPr defaultColWidth="11.42578125" defaultRowHeight="14.25"/>
  <cols>
    <col min="1" max="1" width="4.7109375" style="169" customWidth="1"/>
    <col min="2" max="2" width="4.42578125" style="169" customWidth="1"/>
    <col min="3" max="3" width="6.28515625" style="169" customWidth="1"/>
    <col min="4" max="4" width="4.7109375" style="170" customWidth="1"/>
    <col min="5" max="5" width="21" style="170" customWidth="1"/>
    <col min="6" max="7" width="20.7109375" style="170" customWidth="1"/>
    <col min="8" max="8" width="18.28515625" style="170" customWidth="1"/>
    <col min="9" max="9" width="49" style="170" customWidth="1"/>
    <col min="10" max="10" width="53.7109375" style="170" customWidth="1"/>
    <col min="11" max="11" width="58.28515625" style="169" customWidth="1"/>
    <col min="12" max="12" width="25.42578125" style="171" customWidth="1"/>
    <col min="13" max="13" width="31.85546875" style="171" customWidth="1"/>
    <col min="14" max="14" width="23.85546875" style="171" customWidth="1"/>
    <col min="15" max="15" width="19.5703125" style="169" customWidth="1"/>
    <col min="16" max="16" width="16.42578125" style="169" customWidth="1"/>
    <col min="17" max="17" width="8.85546875" style="169" customWidth="1"/>
    <col min="18" max="18" width="57.28515625" style="169" customWidth="1"/>
    <col min="19" max="19" width="17.42578125" style="169" customWidth="1"/>
    <col min="20" max="20" width="10.42578125" style="169" customWidth="1"/>
    <col min="21" max="21" width="16" style="169" customWidth="1"/>
    <col min="22" max="22" width="5.7109375" style="169" customWidth="1"/>
    <col min="23" max="23" width="91.42578125" style="169" customWidth="1"/>
    <col min="24" max="24" width="57.28515625" style="169" customWidth="1"/>
    <col min="25" max="25" width="15.28515625" style="169" customWidth="1"/>
    <col min="26" max="26" width="6.7109375" style="169" customWidth="1"/>
    <col min="27" max="27" width="5" style="169" customWidth="1"/>
    <col min="28" max="28" width="5.42578125" style="169" customWidth="1"/>
    <col min="29" max="29" width="7.28515625" style="169" customWidth="1"/>
    <col min="30" max="30" width="6.7109375" style="169" customWidth="1"/>
    <col min="31" max="31" width="8.28515625" style="169" customWidth="1"/>
    <col min="32" max="32" width="27" style="169" customWidth="1"/>
    <col min="33" max="33" width="13.7109375" style="169" customWidth="1"/>
    <col min="34" max="38" width="16.140625" style="169" customWidth="1"/>
    <col min="39" max="40" width="7.28515625" style="169" customWidth="1"/>
    <col min="41" max="41" width="46.42578125" style="169" customWidth="1"/>
    <col min="42" max="42" width="24.28515625" style="169" customWidth="1"/>
    <col min="43" max="44" width="23.140625" style="169" customWidth="1"/>
    <col min="45" max="46" width="19.7109375" style="169" customWidth="1"/>
    <col min="47" max="47" width="35.42578125" style="169" customWidth="1"/>
    <col min="48" max="50" width="34.7109375" style="169" customWidth="1"/>
    <col min="51" max="51" width="29" style="169" customWidth="1"/>
    <col min="52" max="52" width="23.28515625" style="169" customWidth="1"/>
    <col min="53" max="53" width="68.42578125" style="169" customWidth="1"/>
    <col min="54" max="54" width="31.42578125" style="169" customWidth="1"/>
    <col min="55" max="55" width="30.42578125" style="169" customWidth="1"/>
    <col min="56" max="56" width="53" style="169" customWidth="1"/>
    <col min="57" max="59" width="0" style="169" hidden="1" customWidth="1"/>
    <col min="60" max="61" width="11.42578125" style="169" hidden="1" customWidth="1"/>
    <col min="62" max="63" width="0" style="169" hidden="1" customWidth="1"/>
    <col min="64" max="16384" width="11.42578125" style="169"/>
  </cols>
  <sheetData>
    <row r="1" spans="1:82" ht="15" thickBot="1"/>
    <row r="2" spans="1:82" ht="27.75" customHeight="1">
      <c r="D2" s="281" t="s">
        <v>7</v>
      </c>
      <c r="E2" s="282"/>
      <c r="F2" s="282"/>
      <c r="G2" s="282"/>
      <c r="H2" s="283"/>
      <c r="I2" s="290" t="s">
        <v>8</v>
      </c>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13" t="s">
        <v>9</v>
      </c>
    </row>
    <row r="3" spans="1:82" ht="27.75" customHeight="1">
      <c r="D3" s="284"/>
      <c r="E3" s="285"/>
      <c r="F3" s="285"/>
      <c r="G3" s="285"/>
      <c r="H3" s="286"/>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20" t="s">
        <v>10</v>
      </c>
    </row>
    <row r="4" spans="1:82" ht="27.75" customHeight="1">
      <c r="D4" s="284"/>
      <c r="E4" s="285"/>
      <c r="F4" s="285"/>
      <c r="G4" s="285"/>
      <c r="H4" s="286"/>
      <c r="I4" s="290"/>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14" t="s">
        <v>4</v>
      </c>
    </row>
    <row r="5" spans="1:82" ht="27.75" customHeight="1" thickBot="1">
      <c r="D5" s="287"/>
      <c r="E5" s="288"/>
      <c r="F5" s="288"/>
      <c r="G5" s="288"/>
      <c r="H5" s="289"/>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14" t="s">
        <v>11</v>
      </c>
    </row>
    <row r="6" spans="1:82" ht="14.1" customHeight="1">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15"/>
    </row>
    <row r="7" spans="1:82" ht="26.25" customHeight="1">
      <c r="D7" s="291" t="s">
        <v>12</v>
      </c>
      <c r="E7" s="292"/>
      <c r="F7" s="292"/>
      <c r="G7" s="293"/>
      <c r="H7" s="294" t="s">
        <v>88</v>
      </c>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48.75" customHeight="1">
      <c r="D8" s="291" t="s">
        <v>13</v>
      </c>
      <c r="E8" s="292"/>
      <c r="F8" s="292"/>
      <c r="G8" s="293"/>
      <c r="H8" s="296" t="s">
        <v>89</v>
      </c>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48.75" customHeight="1">
      <c r="D9" s="291" t="s">
        <v>14</v>
      </c>
      <c r="E9" s="292"/>
      <c r="F9" s="292"/>
      <c r="G9" s="293"/>
      <c r="H9" s="296" t="s">
        <v>90</v>
      </c>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16"/>
      <c r="AT10" s="216"/>
      <c r="AU10" s="216"/>
      <c r="AV10" s="216"/>
      <c r="AW10" s="216"/>
      <c r="AX10" s="216"/>
      <c r="AY10" s="216"/>
      <c r="AZ10" s="179"/>
      <c r="BA10" s="179"/>
      <c r="BB10" s="179"/>
      <c r="BC10" s="179"/>
      <c r="BD10" s="179"/>
    </row>
    <row r="11" spans="1:82" s="174" customFormat="1" ht="25.5" customHeight="1">
      <c r="A11" s="269" t="s">
        <v>15</v>
      </c>
      <c r="B11" s="269"/>
      <c r="C11" s="270"/>
      <c r="D11" s="271" t="s">
        <v>16</v>
      </c>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3" t="s">
        <v>16</v>
      </c>
      <c r="AT11" s="273"/>
      <c r="AU11" s="273"/>
      <c r="AV11" s="273"/>
      <c r="AW11" s="273"/>
      <c r="AX11" s="273"/>
      <c r="AY11" s="273"/>
      <c r="AZ11" s="274" t="s">
        <v>18</v>
      </c>
      <c r="BA11" s="273"/>
      <c r="BB11" s="273"/>
      <c r="BC11" s="275" t="s">
        <v>19</v>
      </c>
      <c r="BD11" s="276"/>
    </row>
    <row r="12" spans="1:82" ht="27" customHeight="1">
      <c r="D12" s="279" t="s">
        <v>20</v>
      </c>
      <c r="E12" s="279"/>
      <c r="F12" s="279"/>
      <c r="G12" s="279"/>
      <c r="H12" s="279"/>
      <c r="I12" s="280"/>
      <c r="J12" s="280"/>
      <c r="K12" s="280"/>
      <c r="L12" s="280"/>
      <c r="M12" s="280"/>
      <c r="N12" s="280"/>
      <c r="O12" s="280"/>
      <c r="P12" s="280" t="s">
        <v>21</v>
      </c>
      <c r="Q12" s="280"/>
      <c r="R12" s="280"/>
      <c r="S12" s="280"/>
      <c r="T12" s="280"/>
      <c r="U12" s="280"/>
      <c r="V12" s="280" t="s">
        <v>22</v>
      </c>
      <c r="W12" s="280"/>
      <c r="X12" s="280"/>
      <c r="Y12" s="280"/>
      <c r="Z12" s="280"/>
      <c r="AA12" s="280"/>
      <c r="AB12" s="280"/>
      <c r="AC12" s="280"/>
      <c r="AD12" s="280"/>
      <c r="AE12" s="280"/>
      <c r="AF12" s="310" t="s">
        <v>23</v>
      </c>
      <c r="AG12" s="280" t="s">
        <v>24</v>
      </c>
      <c r="AH12" s="280"/>
      <c r="AI12" s="280"/>
      <c r="AJ12" s="280"/>
      <c r="AK12" s="280"/>
      <c r="AL12" s="280"/>
      <c r="AM12" s="280"/>
      <c r="AN12" s="218"/>
      <c r="AO12" s="271" t="s">
        <v>25</v>
      </c>
      <c r="AP12" s="272"/>
      <c r="AQ12" s="272"/>
      <c r="AR12" s="272"/>
      <c r="AS12" s="273"/>
      <c r="AT12" s="273"/>
      <c r="AU12" s="273"/>
      <c r="AV12" s="273"/>
      <c r="AW12" s="273"/>
      <c r="AX12" s="273"/>
      <c r="AY12" s="273"/>
      <c r="AZ12" s="274"/>
      <c r="BA12" s="273"/>
      <c r="BB12" s="273"/>
      <c r="BC12" s="277"/>
      <c r="BD12" s="278"/>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45.75" customHeight="1">
      <c r="D13" s="297" t="s">
        <v>26</v>
      </c>
      <c r="E13" s="298" t="s">
        <v>27</v>
      </c>
      <c r="F13" s="299" t="s">
        <v>28</v>
      </c>
      <c r="G13" s="300" t="s">
        <v>29</v>
      </c>
      <c r="H13" s="279" t="s">
        <v>30</v>
      </c>
      <c r="I13" s="298" t="s">
        <v>31</v>
      </c>
      <c r="J13" s="298" t="s">
        <v>32</v>
      </c>
      <c r="K13" s="298" t="s">
        <v>33</v>
      </c>
      <c r="L13" s="300" t="s">
        <v>34</v>
      </c>
      <c r="M13" s="304" t="s">
        <v>35</v>
      </c>
      <c r="N13" s="305"/>
      <c r="O13" s="298" t="s">
        <v>36</v>
      </c>
      <c r="P13" s="298" t="s">
        <v>37</v>
      </c>
      <c r="Q13" s="279" t="s">
        <v>38</v>
      </c>
      <c r="R13" s="298" t="s">
        <v>39</v>
      </c>
      <c r="S13" s="298" t="s">
        <v>40</v>
      </c>
      <c r="T13" s="279" t="s">
        <v>38</v>
      </c>
      <c r="U13" s="298" t="s">
        <v>41</v>
      </c>
      <c r="V13" s="303" t="s">
        <v>42</v>
      </c>
      <c r="W13" s="298" t="s">
        <v>43</v>
      </c>
      <c r="X13" s="298" t="s">
        <v>44</v>
      </c>
      <c r="Y13" s="298" t="s">
        <v>45</v>
      </c>
      <c r="Z13" s="298" t="s">
        <v>46</v>
      </c>
      <c r="AA13" s="298"/>
      <c r="AB13" s="298"/>
      <c r="AC13" s="298"/>
      <c r="AD13" s="298"/>
      <c r="AE13" s="298"/>
      <c r="AF13" s="311"/>
      <c r="AG13" s="303" t="s">
        <v>47</v>
      </c>
      <c r="AH13" s="303" t="s">
        <v>48</v>
      </c>
      <c r="AI13" s="303" t="s">
        <v>38</v>
      </c>
      <c r="AJ13" s="303" t="s">
        <v>49</v>
      </c>
      <c r="AK13" s="303" t="s">
        <v>38</v>
      </c>
      <c r="AL13" s="303" t="s">
        <v>50</v>
      </c>
      <c r="AM13" s="303" t="s">
        <v>51</v>
      </c>
      <c r="AN13" s="303" t="s">
        <v>52</v>
      </c>
      <c r="AO13" s="298" t="s">
        <v>53</v>
      </c>
      <c r="AP13" s="298" t="s">
        <v>54</v>
      </c>
      <c r="AQ13" s="298" t="s">
        <v>55</v>
      </c>
      <c r="AR13" s="300" t="s">
        <v>56</v>
      </c>
      <c r="AS13" s="306" t="s">
        <v>91</v>
      </c>
      <c r="AT13" s="308" t="s">
        <v>58</v>
      </c>
      <c r="AU13" s="308" t="s">
        <v>59</v>
      </c>
      <c r="AV13" s="308" t="s">
        <v>60</v>
      </c>
      <c r="AW13" s="308" t="s">
        <v>61</v>
      </c>
      <c r="AX13" s="308" t="s">
        <v>62</v>
      </c>
      <c r="AY13" s="308" t="s">
        <v>63</v>
      </c>
      <c r="AZ13" s="298" t="s">
        <v>64</v>
      </c>
      <c r="BA13" s="298" t="s">
        <v>65</v>
      </c>
      <c r="BB13" s="298" t="s">
        <v>66</v>
      </c>
      <c r="BC13" s="319" t="s">
        <v>64</v>
      </c>
      <c r="BD13" s="319" t="s">
        <v>67</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106.5" customHeight="1">
      <c r="A14" s="180"/>
      <c r="B14" s="180"/>
      <c r="C14" s="180"/>
      <c r="D14" s="297"/>
      <c r="E14" s="298"/>
      <c r="F14" s="280"/>
      <c r="G14" s="301"/>
      <c r="H14" s="279"/>
      <c r="I14" s="298"/>
      <c r="J14" s="298"/>
      <c r="K14" s="279"/>
      <c r="L14" s="301"/>
      <c r="M14" s="191" t="s">
        <v>68</v>
      </c>
      <c r="N14" s="191" t="s">
        <v>69</v>
      </c>
      <c r="O14" s="298"/>
      <c r="P14" s="298"/>
      <c r="Q14" s="279"/>
      <c r="R14" s="298"/>
      <c r="S14" s="279"/>
      <c r="T14" s="279"/>
      <c r="U14" s="298"/>
      <c r="V14" s="303"/>
      <c r="W14" s="298"/>
      <c r="X14" s="298"/>
      <c r="Y14" s="298"/>
      <c r="Z14" s="207" t="s">
        <v>70</v>
      </c>
      <c r="AA14" s="207" t="s">
        <v>71</v>
      </c>
      <c r="AB14" s="207" t="s">
        <v>72</v>
      </c>
      <c r="AC14" s="207" t="s">
        <v>23</v>
      </c>
      <c r="AD14" s="207" t="s">
        <v>73</v>
      </c>
      <c r="AE14" s="207" t="s">
        <v>74</v>
      </c>
      <c r="AF14" s="312"/>
      <c r="AG14" s="303"/>
      <c r="AH14" s="303"/>
      <c r="AI14" s="303"/>
      <c r="AJ14" s="303"/>
      <c r="AK14" s="303"/>
      <c r="AL14" s="303"/>
      <c r="AM14" s="303"/>
      <c r="AN14" s="303"/>
      <c r="AO14" s="298"/>
      <c r="AP14" s="298"/>
      <c r="AQ14" s="298"/>
      <c r="AR14" s="301"/>
      <c r="AS14" s="307"/>
      <c r="AT14" s="309"/>
      <c r="AU14" s="309"/>
      <c r="AV14" s="309"/>
      <c r="AW14" s="309"/>
      <c r="AX14" s="309"/>
      <c r="AY14" s="309"/>
      <c r="AZ14" s="300"/>
      <c r="BA14" s="300"/>
      <c r="BB14" s="300"/>
      <c r="BC14" s="309"/>
      <c r="BD14" s="309"/>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223" customFormat="1" ht="87" customHeight="1">
      <c r="D15" s="320">
        <v>1</v>
      </c>
      <c r="E15" s="322" t="s">
        <v>92</v>
      </c>
      <c r="F15" s="322" t="s">
        <v>93</v>
      </c>
      <c r="G15" s="324"/>
      <c r="H15" s="322" t="s">
        <v>94</v>
      </c>
      <c r="I15" s="326" t="s">
        <v>159</v>
      </c>
      <c r="J15" s="326" t="s">
        <v>160</v>
      </c>
      <c r="K15" s="326" t="s">
        <v>161</v>
      </c>
      <c r="L15" s="313" t="s">
        <v>98</v>
      </c>
      <c r="M15" s="315" t="s">
        <v>99</v>
      </c>
      <c r="N15" s="315" t="s">
        <v>100</v>
      </c>
      <c r="O15" s="313">
        <v>1</v>
      </c>
      <c r="P15" s="317" t="str">
        <f>IF(O15&lt;=0,"",IF(O15&lt;=2,"Muy Baja",IF(O15&lt;=24,"Baja",IF(O15&lt;=500,"Media",IF(O15&lt;=5000,"Alta","Muy Alta")))))</f>
        <v>Muy Baja</v>
      </c>
      <c r="Q15" s="338">
        <f>IF(P15="","",IF(P15="Muy Baja",0.2,IF(P15="Baja",0.4,IF(P15="Media",0.6,IF(P15="Alta",0.8,IF(P15="Muy Alta",1,))))))</f>
        <v>0.2</v>
      </c>
      <c r="R15" s="340" t="s">
        <v>101</v>
      </c>
      <c r="S15" s="317" t="str">
        <f>IFERROR(VLOOKUP(R15,Criterios[],2,FALSE),"")</f>
        <v>Moderado</v>
      </c>
      <c r="T15" s="338">
        <f t="shared" ref="T15" si="0">IF(S15="","",IF(S15="Leve",0.2,IF(S15="Menor",0.4,IF(S15="Moderado",0.6,IF(S15="Mayor",0.8,IF(S15="Catastrófico",1,))))))</f>
        <v>0.6</v>
      </c>
      <c r="U15" s="317"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Moderado</v>
      </c>
      <c r="V15" s="224">
        <v>1</v>
      </c>
      <c r="W15" s="225" t="s">
        <v>162</v>
      </c>
      <c r="X15" s="226" t="s">
        <v>163</v>
      </c>
      <c r="Y15" s="227" t="str">
        <f t="shared" ref="Y15:Y32" si="1">IF(OR(Z15="Preventivo",Z15="Detectivo"),"Probabilidad",IF(Z15="Correctivo","Impacto",""))</f>
        <v>Probabilidad</v>
      </c>
      <c r="Z15" s="228" t="s">
        <v>104</v>
      </c>
      <c r="AA15" s="228" t="s">
        <v>105</v>
      </c>
      <c r="AB15" s="229" t="str">
        <f t="shared" ref="AB15:AB32" si="2">IF(AND(Z15="Preventivo",AA15="Automático"),"50%",IF(AND(Z15="Preventivo",AA15="Manual"),"40%",IF(AND(Z15="Detectivo",AA15="Automático"),"40%",IF(AND(Z15="Detectivo",AA15="Manual"),"30%",IF(AND(Z15="Correctivo",AA15="Automático"),"35%",IF(AND(Z15="Correctivo",AA15="Manual"),"25%",""))))))</f>
        <v>40%</v>
      </c>
      <c r="AC15" s="228" t="s">
        <v>106</v>
      </c>
      <c r="AD15" s="228" t="s">
        <v>107</v>
      </c>
      <c r="AE15" s="228" t="s">
        <v>108</v>
      </c>
      <c r="AF15" s="230" t="s">
        <v>164</v>
      </c>
      <c r="AG15" s="231">
        <f>IFERROR(IF(Y15="Probabilidad",(Q15-(+ Q15*AB15)),IF(Y15="Impacto",Q15,"")),"")</f>
        <v>0.12</v>
      </c>
      <c r="AH15" s="232" t="str">
        <f>IFERROR(IF(AG15="","",IF(AG15&lt;=0.2,"Muy Baja",IF(AG15&lt;=0.4,"Baja",IF(AG15&lt;=0.6,"Media",IF(AG15&lt;=0.8,"Alta","Muy Alta"))))),"")</f>
        <v>Muy Baja</v>
      </c>
      <c r="AI15" s="229">
        <f>+AG15</f>
        <v>0.12</v>
      </c>
      <c r="AJ15" s="232" t="str">
        <f>IFERROR(IF(AK15="","",IF(AK15&lt;=0.2,"Leve",IF(AK15&lt;=0.4,"Menor",IF(AK15&lt;=0.6,"Moderado",IF(AK15&lt;=0.8,"Mayor","Catastrófico"))))),"")</f>
        <v>Moderado</v>
      </c>
      <c r="AK15" s="229">
        <f>IFERROR(IF(Y15="Impacto",(T15-(+T15*AB15)),IF(Y15="Probabilidad",T15,"")),"")</f>
        <v>0.6</v>
      </c>
      <c r="AL15" s="232"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Moderado</v>
      </c>
      <c r="AM15" s="342" t="s">
        <v>75</v>
      </c>
      <c r="AN15" s="322">
        <v>1</v>
      </c>
      <c r="AO15" s="326" t="s">
        <v>165</v>
      </c>
      <c r="AP15" s="331" t="s">
        <v>166</v>
      </c>
      <c r="AQ15" s="333" t="s">
        <v>167</v>
      </c>
      <c r="AR15" s="333">
        <v>46336</v>
      </c>
      <c r="AS15" s="333">
        <v>46268</v>
      </c>
      <c r="AT15" s="385"/>
      <c r="AU15" s="233"/>
      <c r="AV15" s="233"/>
      <c r="AW15" s="233"/>
      <c r="AX15" s="233"/>
      <c r="AY15" s="233"/>
      <c r="AZ15" s="335"/>
      <c r="BA15" s="234"/>
      <c r="BB15" s="235"/>
      <c r="BC15" s="328"/>
      <c r="BD15" s="236"/>
      <c r="BE15" s="237"/>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row>
    <row r="16" spans="1:82" s="223" customFormat="1" ht="62.25" customHeight="1">
      <c r="D16" s="321"/>
      <c r="E16" s="323"/>
      <c r="F16" s="323"/>
      <c r="G16" s="325"/>
      <c r="H16" s="323"/>
      <c r="I16" s="327"/>
      <c r="J16" s="327"/>
      <c r="K16" s="434"/>
      <c r="L16" s="314"/>
      <c r="M16" s="316"/>
      <c r="N16" s="316"/>
      <c r="O16" s="314"/>
      <c r="P16" s="318"/>
      <c r="Q16" s="339"/>
      <c r="R16" s="341"/>
      <c r="S16" s="318"/>
      <c r="T16" s="339"/>
      <c r="U16" s="318"/>
      <c r="V16" s="239">
        <v>2</v>
      </c>
      <c r="W16" s="225"/>
      <c r="X16" s="226"/>
      <c r="Y16" s="227" t="str">
        <f t="shared" si="1"/>
        <v/>
      </c>
      <c r="Z16" s="228"/>
      <c r="AA16" s="228"/>
      <c r="AB16" s="229" t="str">
        <f t="shared" si="2"/>
        <v/>
      </c>
      <c r="AC16" s="228"/>
      <c r="AD16" s="228"/>
      <c r="AE16" s="228"/>
      <c r="AF16" s="230"/>
      <c r="AG16" s="231" t="str">
        <f t="shared" ref="AG16:AG32" si="3">IFERROR(IF(Y16="Probabilidad",(Q16-(+ Q16*AB16)),IF(Y16="Impacto",Q16,"")),"")</f>
        <v/>
      </c>
      <c r="AH16" s="232" t="str">
        <f t="shared" ref="AH16:AH32" si="4">IFERROR(IF(AG16="","",IF(AG16&lt;=0.2,"Muy Baja",IF(AG16&lt;=0.4,"Baja",IF(AG16&lt;=0.6,"Media",IF(AG16&lt;=0.8,"Alta","Muy Alta"))))),"")</f>
        <v/>
      </c>
      <c r="AI16" s="229" t="str">
        <f t="shared" ref="AI16:AI31" si="5">+AG16</f>
        <v/>
      </c>
      <c r="AJ16" s="232" t="str">
        <f t="shared" ref="AJ16:AJ32" si="6">IFERROR(IF(AK16="","",IF(AK16&lt;=0.2,"Leve",IF(AK16&lt;=0.4,"Menor",IF(AK16&lt;=0.6,"Moderado",IF(AK16&lt;=0.8,"Mayor","Catastrófico"))))),"")</f>
        <v/>
      </c>
      <c r="AK16" s="229" t="str">
        <f>IFERROR(IF(Y16="Impacto",(T16-(+T16*AB16)),IF(Y16="Probabilidad",T15,"")),"")</f>
        <v/>
      </c>
      <c r="AL16" s="232" t="str">
        <f t="shared" ref="AL16:AL32" si="7">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
      </c>
      <c r="AM16" s="343"/>
      <c r="AN16" s="323"/>
      <c r="AO16" s="327"/>
      <c r="AP16" s="332"/>
      <c r="AQ16" s="334"/>
      <c r="AR16" s="334"/>
      <c r="AS16" s="334"/>
      <c r="AT16" s="386"/>
      <c r="AU16" s="233"/>
      <c r="AV16" s="233"/>
      <c r="AW16" s="233"/>
      <c r="AX16" s="233"/>
      <c r="AY16" s="233"/>
      <c r="AZ16" s="336"/>
      <c r="BA16" s="234"/>
      <c r="BB16" s="240"/>
      <c r="BC16" s="329"/>
      <c r="BD16" s="236"/>
      <c r="BE16" s="241"/>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row>
    <row r="17" spans="4:82" s="223" customFormat="1" ht="93.75" customHeight="1">
      <c r="D17" s="320">
        <v>2</v>
      </c>
      <c r="E17" s="322" t="s">
        <v>92</v>
      </c>
      <c r="F17" s="322" t="s">
        <v>93</v>
      </c>
      <c r="G17" s="324"/>
      <c r="H17" s="322" t="s">
        <v>151</v>
      </c>
      <c r="I17" s="326" t="s">
        <v>168</v>
      </c>
      <c r="J17" s="326" t="s">
        <v>169</v>
      </c>
      <c r="K17" s="326" t="s">
        <v>170</v>
      </c>
      <c r="L17" s="313" t="s">
        <v>120</v>
      </c>
      <c r="M17" s="315" t="s">
        <v>99</v>
      </c>
      <c r="N17" s="315" t="s">
        <v>100</v>
      </c>
      <c r="O17" s="313">
        <v>16</v>
      </c>
      <c r="P17" s="317" t="str">
        <f>IF(O17&lt;=0,"",IF(O17&lt;=2,"Muy Baja",IF(O17&lt;=24,"Baja",IF(O17&lt;=500,"Media",IF(O17&lt;=5000,"Alta","Muy Alta")))))</f>
        <v>Baja</v>
      </c>
      <c r="Q17" s="338">
        <f t="shared" ref="Q17" si="8">IF(P17="","",IF(P17="Muy Baja",0.2,IF(P17="Baja",0.4,IF(P17="Media",0.6,IF(P17="Alta",0.8,IF(P17="Muy Alta",1,))))))</f>
        <v>0.4</v>
      </c>
      <c r="R17" s="340" t="s">
        <v>171</v>
      </c>
      <c r="S17" s="317" t="str">
        <f>IFERROR(VLOOKUP(R17,Criterios[],2,FALSE),"")</f>
        <v>Catastrófico</v>
      </c>
      <c r="T17" s="338">
        <f t="shared" ref="T17" si="9">IF(S17="","",IF(S17="Leve",0.2,IF(S17="Menor",0.4,IF(S17="Moderado",0.6,IF(S17="Mayor",0.8,IF(S17="Catastrófico",1,))))))</f>
        <v>1</v>
      </c>
      <c r="U17" s="317" t="str">
        <f>IF(OR(AND(P17="Muy Baja",S17="Leve"),AND(P17="Muy Baja",S17="Menor"),AND(P17="Baja",S17="Leve")),"Bajo",IF(OR(AND(P17="Muy baja",S17="Moderado"),AND(P17="Baja",S17="Menor"),AND(P17="Baja",S17="Moderado"),AND(P17="Media",S17="Leve"),AND(P17="Media",S17="Menor"),AND(P17="Media",S17="Moderado"),AND(P17="Alta",S17="Leve"),AND(P17="Alta",S17="Menor")),"Moderado",IF(OR(AND(P17="Muy Baja",S17="Mayor"),AND(P17="Baja",S17="Mayor"),AND(P17="Media",S17="Mayor"),AND(P17="Alta",S17="Moderado"),AND(P17="Alta",S17="Mayor"),AND(P17="Muy Alta",S17="Leve"),AND(P17="Muy Alta",S17="Menor"),AND(P17="Muy Alta",S17="Moderado"),AND(P17="Muy Alta",S17="Mayor")),"Alto",IF(OR(AND(P17="Muy Baja",S17="Catastrófico"),AND(P17="Baja",S17="Catastrófico"),AND(P17="Media",S17="Catastrófico"),AND(P17="Alta",S17="Catastrófico"),AND(P17="Muy Alta",S17="Catastrófico")),"Extremo",""))))</f>
        <v>Extremo</v>
      </c>
      <c r="V17" s="224">
        <v>1</v>
      </c>
      <c r="W17" s="225" t="s">
        <v>172</v>
      </c>
      <c r="X17" s="226" t="s">
        <v>173</v>
      </c>
      <c r="Y17" s="227" t="str">
        <f t="shared" si="1"/>
        <v>Probabilidad</v>
      </c>
      <c r="Z17" s="228" t="s">
        <v>104</v>
      </c>
      <c r="AA17" s="228" t="s">
        <v>105</v>
      </c>
      <c r="AB17" s="229" t="str">
        <f t="shared" si="2"/>
        <v>40%</v>
      </c>
      <c r="AC17" s="228" t="s">
        <v>106</v>
      </c>
      <c r="AD17" s="228" t="s">
        <v>107</v>
      </c>
      <c r="AE17" s="228" t="s">
        <v>108</v>
      </c>
      <c r="AF17" s="230" t="s">
        <v>173</v>
      </c>
      <c r="AG17" s="231">
        <f t="shared" si="3"/>
        <v>0.24</v>
      </c>
      <c r="AH17" s="232" t="str">
        <f t="shared" si="4"/>
        <v>Baja</v>
      </c>
      <c r="AI17" s="229">
        <f t="shared" si="5"/>
        <v>0.24</v>
      </c>
      <c r="AJ17" s="232" t="str">
        <f>IFERROR(IF(AK17="","",IF(AK17&lt;=0.2,"Leve",IF(AK17&lt;=0.4,"Menor",IF(AK17&lt;=0.6,"Moderado",IF(AK17&lt;=0.8,"Mayor","Catastrófico"))))),"")</f>
        <v>Catastrófico</v>
      </c>
      <c r="AK17" s="229">
        <f>IFERROR(IF(Y17="Impacto",(T117-(+T17*AB17)),IF(Y17="Probabilidad",T17,"")),"")</f>
        <v>1</v>
      </c>
      <c r="AL17" s="232" t="str">
        <f t="shared" si="7"/>
        <v>Extremo</v>
      </c>
      <c r="AM17" s="342" t="s">
        <v>75</v>
      </c>
      <c r="AN17" s="322">
        <v>1</v>
      </c>
      <c r="AO17" s="326" t="s">
        <v>174</v>
      </c>
      <c r="AP17" s="331" t="s">
        <v>166</v>
      </c>
      <c r="AQ17" s="333" t="s">
        <v>167</v>
      </c>
      <c r="AR17" s="333">
        <v>46336</v>
      </c>
      <c r="AS17" s="333">
        <v>46268</v>
      </c>
      <c r="AT17" s="233"/>
      <c r="AU17" s="233"/>
      <c r="AV17" s="233"/>
      <c r="AW17" s="233"/>
      <c r="AX17" s="233"/>
      <c r="AY17" s="233"/>
      <c r="AZ17" s="336"/>
      <c r="BA17" s="234"/>
      <c r="BB17" s="240"/>
      <c r="BC17" s="329"/>
      <c r="BD17" s="236"/>
      <c r="BE17" s="238"/>
      <c r="BF17" s="241"/>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row>
    <row r="18" spans="4:82" s="223" customFormat="1" ht="50.25" customHeight="1">
      <c r="D18" s="321"/>
      <c r="E18" s="323"/>
      <c r="F18" s="323"/>
      <c r="G18" s="325"/>
      <c r="H18" s="323"/>
      <c r="I18" s="327"/>
      <c r="J18" s="327"/>
      <c r="K18" s="434"/>
      <c r="L18" s="314"/>
      <c r="M18" s="316"/>
      <c r="N18" s="316"/>
      <c r="O18" s="314"/>
      <c r="P18" s="318"/>
      <c r="Q18" s="339"/>
      <c r="R18" s="341"/>
      <c r="S18" s="318"/>
      <c r="T18" s="339"/>
      <c r="U18" s="318"/>
      <c r="V18" s="239">
        <v>2</v>
      </c>
      <c r="W18" s="225"/>
      <c r="X18" s="226"/>
      <c r="Y18" s="227"/>
      <c r="Z18" s="228"/>
      <c r="AA18" s="228"/>
      <c r="AB18" s="229"/>
      <c r="AC18" s="228"/>
      <c r="AD18" s="228"/>
      <c r="AE18" s="228"/>
      <c r="AF18" s="230"/>
      <c r="AG18" s="231" t="str">
        <f t="shared" si="3"/>
        <v/>
      </c>
      <c r="AH18" s="232" t="str">
        <f t="shared" si="4"/>
        <v/>
      </c>
      <c r="AI18" s="229" t="str">
        <f t="shared" si="5"/>
        <v/>
      </c>
      <c r="AJ18" s="232" t="str">
        <f t="shared" si="6"/>
        <v/>
      </c>
      <c r="AK18" s="229" t="str">
        <f>IFERROR(IF(Y18="Impacto",(T18-(+T18*AB18)),IF(Y18="Probabilidad",T17,"")),"")</f>
        <v/>
      </c>
      <c r="AL18" s="232" t="str">
        <f t="shared" si="7"/>
        <v/>
      </c>
      <c r="AM18" s="343"/>
      <c r="AN18" s="323">
        <v>2</v>
      </c>
      <c r="AO18" s="327"/>
      <c r="AP18" s="332"/>
      <c r="AQ18" s="334"/>
      <c r="AR18" s="334"/>
      <c r="AS18" s="334"/>
      <c r="AT18" s="233"/>
      <c r="AU18" s="233"/>
      <c r="AV18" s="233"/>
      <c r="AW18" s="233"/>
      <c r="AX18" s="233"/>
      <c r="AY18" s="233"/>
      <c r="AZ18" s="336"/>
      <c r="BA18" s="234"/>
      <c r="BB18" s="240"/>
      <c r="BC18" s="329"/>
      <c r="BD18" s="236"/>
      <c r="BE18" s="238"/>
      <c r="BF18" s="241"/>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row>
    <row r="19" spans="4:82" s="223" customFormat="1" ht="99.75" customHeight="1">
      <c r="D19" s="320">
        <v>3</v>
      </c>
      <c r="E19" s="322"/>
      <c r="F19" s="322"/>
      <c r="G19" s="324"/>
      <c r="H19" s="322"/>
      <c r="I19" s="326"/>
      <c r="J19" s="326"/>
      <c r="K19" s="326"/>
      <c r="L19" s="313"/>
      <c r="M19" s="315"/>
      <c r="N19" s="315"/>
      <c r="O19" s="346"/>
      <c r="P19" s="317" t="str">
        <f>IF(O19&lt;=0,"",IF(O19&lt;=2,"Muy Baja",IF(O19&lt;=24,"Baja",IF(O19&lt;=500,"Media",IF(O19&lt;=5000,"Alta","Muy Alta")))))</f>
        <v/>
      </c>
      <c r="Q19" s="338" t="str">
        <f t="shared" ref="Q19" si="10">IF(P19="","",IF(P19="Muy Baja",0.2,IF(P19="Baja",0.4,IF(P19="Media",0.6,IF(P19="Alta",0.8,IF(P19="Muy Alta",1,))))))</f>
        <v/>
      </c>
      <c r="R19" s="340"/>
      <c r="S19" s="317" t="str">
        <f>IFERROR(VLOOKUP(R19,Criterios[],2,FALSE),"")</f>
        <v/>
      </c>
      <c r="T19" s="338" t="str">
        <f t="shared" ref="T19" si="11">IF(S19="","",IF(S19="Leve",0.2,IF(S19="Menor",0.4,IF(S19="Moderado",0.6,IF(S19="Mayor",0.8,IF(S19="Catastrófico",1,))))))</f>
        <v/>
      </c>
      <c r="U19" s="317" t="str">
        <f t="shared" ref="U19" si="12">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
      </c>
      <c r="V19" s="224">
        <v>1</v>
      </c>
      <c r="W19" s="225"/>
      <c r="X19" s="226"/>
      <c r="Y19" s="227" t="str">
        <f t="shared" si="1"/>
        <v/>
      </c>
      <c r="Z19" s="228"/>
      <c r="AA19" s="228"/>
      <c r="AB19" s="229" t="str">
        <f t="shared" si="2"/>
        <v/>
      </c>
      <c r="AC19" s="228"/>
      <c r="AD19" s="228"/>
      <c r="AE19" s="228"/>
      <c r="AF19" s="230"/>
      <c r="AG19" s="231" t="str">
        <f t="shared" si="3"/>
        <v/>
      </c>
      <c r="AH19" s="232" t="str">
        <f t="shared" si="4"/>
        <v/>
      </c>
      <c r="AI19" s="229" t="str">
        <f t="shared" si="5"/>
        <v/>
      </c>
      <c r="AJ19" s="232" t="str">
        <f t="shared" si="6"/>
        <v/>
      </c>
      <c r="AK19" s="229" t="str">
        <f t="shared" ref="AK19:AK32" si="13">IFERROR(IF(Y19="Impacto",(T19-(+T19*AB19)),IF(Y19="Probabilidad",T18,"")),"")</f>
        <v/>
      </c>
      <c r="AL19" s="232" t="str">
        <f t="shared" si="7"/>
        <v/>
      </c>
      <c r="AM19" s="342" t="s">
        <v>75</v>
      </c>
      <c r="AN19" s="322">
        <v>1</v>
      </c>
      <c r="AO19" s="326"/>
      <c r="AP19" s="331"/>
      <c r="AQ19" s="333"/>
      <c r="AR19" s="333"/>
      <c r="AS19" s="333"/>
      <c r="AT19" s="233"/>
      <c r="AU19" s="233"/>
      <c r="AV19" s="233"/>
      <c r="AW19" s="233"/>
      <c r="AX19" s="233"/>
      <c r="AY19" s="233"/>
      <c r="AZ19" s="336"/>
      <c r="BA19" s="234"/>
      <c r="BB19" s="240"/>
      <c r="BC19" s="329"/>
      <c r="BD19" s="236"/>
      <c r="BE19" s="238"/>
      <c r="BF19" s="241"/>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row>
    <row r="20" spans="4:82" s="223" customFormat="1" ht="82.5" customHeight="1">
      <c r="D20" s="321"/>
      <c r="E20" s="323"/>
      <c r="F20" s="323"/>
      <c r="G20" s="325"/>
      <c r="H20" s="323"/>
      <c r="I20" s="327"/>
      <c r="J20" s="327"/>
      <c r="K20" s="434"/>
      <c r="L20" s="314"/>
      <c r="M20" s="316"/>
      <c r="N20" s="316"/>
      <c r="O20" s="347"/>
      <c r="P20" s="318"/>
      <c r="Q20" s="339"/>
      <c r="R20" s="341"/>
      <c r="S20" s="318"/>
      <c r="T20" s="339"/>
      <c r="U20" s="318"/>
      <c r="V20" s="239">
        <v>2</v>
      </c>
      <c r="W20" s="225"/>
      <c r="X20" s="226"/>
      <c r="Y20" s="227" t="str">
        <f t="shared" si="1"/>
        <v/>
      </c>
      <c r="Z20" s="228"/>
      <c r="AA20" s="228"/>
      <c r="AB20" s="229" t="str">
        <f t="shared" si="2"/>
        <v/>
      </c>
      <c r="AC20" s="228"/>
      <c r="AD20" s="228"/>
      <c r="AE20" s="228"/>
      <c r="AF20" s="230" t="s">
        <v>135</v>
      </c>
      <c r="AG20" s="231" t="str">
        <f t="shared" si="3"/>
        <v/>
      </c>
      <c r="AH20" s="232" t="str">
        <f t="shared" si="4"/>
        <v/>
      </c>
      <c r="AI20" s="229" t="str">
        <f t="shared" si="5"/>
        <v/>
      </c>
      <c r="AJ20" s="232" t="str">
        <f t="shared" si="6"/>
        <v/>
      </c>
      <c r="AK20" s="229" t="str">
        <f t="shared" si="13"/>
        <v/>
      </c>
      <c r="AL20" s="232" t="str">
        <f t="shared" si="7"/>
        <v/>
      </c>
      <c r="AM20" s="343"/>
      <c r="AN20" s="323"/>
      <c r="AO20" s="327"/>
      <c r="AP20" s="332"/>
      <c r="AQ20" s="334"/>
      <c r="AR20" s="334"/>
      <c r="AS20" s="334"/>
      <c r="AT20" s="233"/>
      <c r="AU20" s="233"/>
      <c r="AV20" s="233"/>
      <c r="AW20" s="233"/>
      <c r="AX20" s="233"/>
      <c r="AY20" s="233"/>
      <c r="AZ20" s="336"/>
      <c r="BA20" s="234"/>
      <c r="BB20" s="240"/>
      <c r="BC20" s="329"/>
      <c r="BD20" s="236"/>
      <c r="BE20" s="241"/>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row>
    <row r="21" spans="4:82" s="223" customFormat="1" ht="39.75" hidden="1" customHeight="1">
      <c r="D21" s="320">
        <v>4</v>
      </c>
      <c r="E21" s="322"/>
      <c r="F21" s="322"/>
      <c r="G21" s="324"/>
      <c r="H21" s="322"/>
      <c r="I21" s="326"/>
      <c r="J21" s="326"/>
      <c r="K21" s="326"/>
      <c r="L21" s="313"/>
      <c r="M21" s="315"/>
      <c r="N21" s="315"/>
      <c r="O21" s="313"/>
      <c r="P21" s="317" t="str">
        <f>IF(O21&lt;=0,"",IF(O21&lt;=2,"Muy Baja",IF(O21&lt;=24,"Baja",IF(O21&lt;=500,"Media",IF(O21&lt;=5000,"Alta","Muy Alta")))))</f>
        <v/>
      </c>
      <c r="Q21" s="338" t="str">
        <f t="shared" ref="Q21" si="14">IF(P21="","",IF(P21="Muy Baja",0.2,IF(P21="Baja",0.4,IF(P21="Media",0.6,IF(P21="Alta",0.8,IF(P21="Muy Alta",1,))))))</f>
        <v/>
      </c>
      <c r="R21" s="340"/>
      <c r="S21" s="317" t="str">
        <f>IFERROR(VLOOKUP(R21,Criterios[],2,FALSE),"")</f>
        <v/>
      </c>
      <c r="T21" s="338" t="str">
        <f t="shared" ref="T21" si="15">IF(S21="","",IF(S21="Leve",0.2,IF(S21="Menor",0.4,IF(S21="Moderado",0.6,IF(S21="Mayor",0.8,IF(S21="Catastrófico",1,))))))</f>
        <v/>
      </c>
      <c r="U21" s="317" t="str">
        <f t="shared" ref="U21" si="16">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
      </c>
      <c r="V21" s="224">
        <v>1</v>
      </c>
      <c r="W21" s="225"/>
      <c r="X21" s="226"/>
      <c r="Y21" s="227" t="str">
        <f t="shared" si="1"/>
        <v/>
      </c>
      <c r="Z21" s="228"/>
      <c r="AA21" s="228"/>
      <c r="AB21" s="229" t="str">
        <f t="shared" si="2"/>
        <v/>
      </c>
      <c r="AC21" s="228"/>
      <c r="AD21" s="228"/>
      <c r="AE21" s="228"/>
      <c r="AF21" s="230"/>
      <c r="AG21" s="231" t="str">
        <f t="shared" si="3"/>
        <v/>
      </c>
      <c r="AH21" s="232" t="str">
        <f t="shared" si="4"/>
        <v/>
      </c>
      <c r="AI21" s="229" t="str">
        <f t="shared" si="5"/>
        <v/>
      </c>
      <c r="AJ21" s="232" t="str">
        <f t="shared" si="6"/>
        <v/>
      </c>
      <c r="AK21" s="229" t="str">
        <f t="shared" si="13"/>
        <v/>
      </c>
      <c r="AL21" s="232" t="str">
        <f t="shared" si="7"/>
        <v/>
      </c>
      <c r="AM21" s="342" t="s">
        <v>75</v>
      </c>
      <c r="AN21" s="224">
        <v>1</v>
      </c>
      <c r="AO21" s="326"/>
      <c r="AP21" s="331"/>
      <c r="AQ21" s="333"/>
      <c r="AR21" s="333"/>
      <c r="AS21" s="333"/>
      <c r="AT21" s="233"/>
      <c r="AU21" s="233"/>
      <c r="AV21" s="233"/>
      <c r="AW21" s="233"/>
      <c r="AX21" s="233"/>
      <c r="AY21" s="233"/>
      <c r="AZ21" s="336"/>
      <c r="BA21" s="242"/>
      <c r="BB21" s="242"/>
      <c r="BC21" s="329"/>
      <c r="BD21" s="236"/>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row>
    <row r="22" spans="4:82" s="223" customFormat="1" ht="39.75" hidden="1" customHeight="1">
      <c r="D22" s="321"/>
      <c r="E22" s="323"/>
      <c r="F22" s="323"/>
      <c r="G22" s="325"/>
      <c r="H22" s="323"/>
      <c r="I22" s="327"/>
      <c r="J22" s="327"/>
      <c r="K22" s="327"/>
      <c r="L22" s="314"/>
      <c r="M22" s="316"/>
      <c r="N22" s="316"/>
      <c r="O22" s="314"/>
      <c r="P22" s="318"/>
      <c r="Q22" s="339"/>
      <c r="R22" s="341"/>
      <c r="S22" s="318"/>
      <c r="T22" s="339"/>
      <c r="U22" s="318"/>
      <c r="V22" s="239">
        <v>2</v>
      </c>
      <c r="W22" s="225"/>
      <c r="X22" s="226"/>
      <c r="Y22" s="227" t="str">
        <f t="shared" si="1"/>
        <v/>
      </c>
      <c r="Z22" s="228"/>
      <c r="AA22" s="228"/>
      <c r="AB22" s="229" t="str">
        <f t="shared" si="2"/>
        <v/>
      </c>
      <c r="AC22" s="228"/>
      <c r="AD22" s="228"/>
      <c r="AE22" s="228"/>
      <c r="AF22" s="230"/>
      <c r="AG22" s="231" t="str">
        <f t="shared" si="3"/>
        <v/>
      </c>
      <c r="AH22" s="232" t="str">
        <f t="shared" si="4"/>
        <v/>
      </c>
      <c r="AI22" s="229" t="str">
        <f t="shared" si="5"/>
        <v/>
      </c>
      <c r="AJ22" s="232" t="str">
        <f t="shared" si="6"/>
        <v/>
      </c>
      <c r="AK22" s="229" t="str">
        <f t="shared" si="13"/>
        <v/>
      </c>
      <c r="AL22" s="232" t="str">
        <f t="shared" si="7"/>
        <v/>
      </c>
      <c r="AM22" s="343"/>
      <c r="AN22" s="239">
        <v>2</v>
      </c>
      <c r="AO22" s="327"/>
      <c r="AP22" s="332"/>
      <c r="AQ22" s="334"/>
      <c r="AR22" s="334"/>
      <c r="AS22" s="334"/>
      <c r="AT22" s="233"/>
      <c r="AU22" s="233"/>
      <c r="AV22" s="233"/>
      <c r="AW22" s="233"/>
      <c r="AX22" s="233"/>
      <c r="AY22" s="233"/>
      <c r="AZ22" s="336"/>
      <c r="BA22" s="242"/>
      <c r="BB22" s="242"/>
      <c r="BC22" s="329"/>
      <c r="BD22" s="236"/>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row>
    <row r="23" spans="4:82" s="183" customFormat="1" ht="58.5" hidden="1" customHeight="1">
      <c r="D23" s="368">
        <v>5</v>
      </c>
      <c r="E23" s="354"/>
      <c r="F23" s="354"/>
      <c r="G23" s="356"/>
      <c r="H23" s="354"/>
      <c r="I23" s="358"/>
      <c r="J23" s="358"/>
      <c r="K23" s="326"/>
      <c r="L23" s="348"/>
      <c r="M23" s="366"/>
      <c r="N23" s="366"/>
      <c r="O23" s="348"/>
      <c r="P23" s="350" t="str">
        <f t="shared" ref="P23:P31" si="17">IF(O23&lt;=0,"",IF(O23&lt;=2,"Muy Baja",IF(O23&lt;=24,"Baja",IF(O23&lt;=500,"Media",IF(O23&lt;=5000,"Alta","Muy Alta")))))</f>
        <v/>
      </c>
      <c r="Q23" s="352" t="str">
        <f t="shared" ref="Q23" si="18">IF(P23="","",IF(P23="Muy Baja",0.2,IF(P23="Baja",0.4,IF(P23="Media",0.6,IF(P23="Alta",0.8,IF(P23="Muy Alta",1,))))))</f>
        <v/>
      </c>
      <c r="R23" s="372"/>
      <c r="S23" s="317" t="str">
        <f>IFERROR(VLOOKUP(R23,Criterios[],2,FALSE),"")</f>
        <v/>
      </c>
      <c r="T23" s="338" t="str">
        <f t="shared" ref="T23" si="19">IF(S23="","",IF(S23="Leve",0.2,IF(S23="Menor",0.4,IF(S23="Moderado",0.6,IF(S23="Mayor",0.8,IF(S23="Catastrófico",1,))))))</f>
        <v/>
      </c>
      <c r="U23" s="317" t="str">
        <f t="shared" ref="U23" si="20">IF(OR(AND(P23="Muy Baja",S23="Leve"),AND(P23="Muy Baja",S23="Menor"),AND(P23="Baja",S23="Leve")),"Bajo",IF(OR(AND(P23="Muy baja",S23="Moderado"),AND(P23="Baja",S23="Menor"),AND(P23="Baja",S23="Moderado"),AND(P23="Media",S23="Leve"),AND(P23="Media",S23="Menor"),AND(P23="Media",S23="Moderado"),AND(P23="Alta",S23="Leve"),AND(P23="Alta",S23="Menor")),"Moderado",IF(OR(AND(P23="Muy Baja",S23="Mayor"),AND(P23="Baja",S23="Mayor"),AND(P23="Media",S23="Mayor"),AND(P23="Alta",S23="Moderado"),AND(P23="Alta",S23="Mayor"),AND(P23="Muy Alta",S23="Leve"),AND(P23="Muy Alta",S23="Menor"),AND(P23="Muy Alta",S23="Moderado"),AND(P23="Muy Alta",S23="Mayor")),"Alto",IF(OR(AND(P23="Muy Baja",S23="Catastrófico"),AND(P23="Baja",S23="Catastrófico"),AND(P23="Media",S23="Catastrófico"),AND(P23="Alta",S23="Catastrófico"),AND(P23="Muy Alta",S23="Catastrófico")),"Extremo",""))))</f>
        <v/>
      </c>
      <c r="V23" s="192">
        <v>1</v>
      </c>
      <c r="W23" s="193"/>
      <c r="X23" s="194"/>
      <c r="Y23" s="227" t="str">
        <f t="shared" si="1"/>
        <v/>
      </c>
      <c r="Z23" s="196"/>
      <c r="AA23" s="196"/>
      <c r="AB23" s="229" t="str">
        <f t="shared" si="2"/>
        <v/>
      </c>
      <c r="AC23" s="196"/>
      <c r="AD23" s="196"/>
      <c r="AE23" s="184"/>
      <c r="AF23" s="215"/>
      <c r="AG23" s="231" t="str">
        <f t="shared" si="3"/>
        <v/>
      </c>
      <c r="AH23" s="232" t="str">
        <f t="shared" si="4"/>
        <v/>
      </c>
      <c r="AI23" s="229" t="str">
        <f t="shared" si="5"/>
        <v/>
      </c>
      <c r="AJ23" s="232" t="str">
        <f t="shared" si="6"/>
        <v/>
      </c>
      <c r="AK23" s="229" t="str">
        <f t="shared" si="13"/>
        <v/>
      </c>
      <c r="AL23" s="232" t="str">
        <f t="shared" si="7"/>
        <v/>
      </c>
      <c r="AM23" s="360" t="s">
        <v>75</v>
      </c>
      <c r="AN23" s="192">
        <v>1</v>
      </c>
      <c r="AO23" s="358"/>
      <c r="AP23" s="362"/>
      <c r="AQ23" s="364"/>
      <c r="AR23" s="333"/>
      <c r="AS23" s="333"/>
      <c r="AT23" s="221"/>
      <c r="AU23" s="221"/>
      <c r="AV23" s="221"/>
      <c r="AW23" s="221"/>
      <c r="AX23" s="221"/>
      <c r="AY23" s="221"/>
      <c r="AZ23" s="336"/>
      <c r="BA23" s="219"/>
      <c r="BB23" s="219"/>
      <c r="BC23" s="329"/>
      <c r="BD23" s="222"/>
      <c r="BE23" s="185"/>
      <c r="BF23" s="185"/>
      <c r="BG23" s="185"/>
      <c r="BH23" s="185"/>
      <c r="BI23" s="185"/>
      <c r="BJ23" s="185"/>
      <c r="BK23" s="185"/>
      <c r="BL23" s="185"/>
      <c r="BM23" s="185"/>
      <c r="BN23" s="185"/>
      <c r="BO23" s="185"/>
      <c r="BP23" s="185"/>
      <c r="BQ23" s="185"/>
      <c r="BR23" s="185"/>
      <c r="BS23" s="185"/>
      <c r="BT23" s="185"/>
      <c r="BU23" s="185"/>
      <c r="BV23" s="185"/>
      <c r="BW23" s="185"/>
      <c r="BX23" s="185"/>
      <c r="BY23" s="185"/>
      <c r="BZ23" s="185"/>
      <c r="CA23" s="185"/>
      <c r="CB23" s="185"/>
      <c r="CC23" s="185"/>
      <c r="CD23" s="185"/>
    </row>
    <row r="24" spans="4:82" s="183" customFormat="1" ht="58.5" hidden="1" customHeight="1">
      <c r="D24" s="369"/>
      <c r="E24" s="355"/>
      <c r="F24" s="355"/>
      <c r="G24" s="357"/>
      <c r="H24" s="355"/>
      <c r="I24" s="359"/>
      <c r="J24" s="359"/>
      <c r="K24" s="327"/>
      <c r="L24" s="349"/>
      <c r="M24" s="367"/>
      <c r="N24" s="367"/>
      <c r="O24" s="349"/>
      <c r="P24" s="351"/>
      <c r="Q24" s="353"/>
      <c r="R24" s="373"/>
      <c r="S24" s="318"/>
      <c r="T24" s="339"/>
      <c r="U24" s="318"/>
      <c r="V24" s="200">
        <v>2</v>
      </c>
      <c r="W24" s="193"/>
      <c r="X24" s="194"/>
      <c r="Y24" s="227" t="str">
        <f t="shared" si="1"/>
        <v/>
      </c>
      <c r="Z24" s="196"/>
      <c r="AA24" s="196"/>
      <c r="AB24" s="229" t="str">
        <f t="shared" si="2"/>
        <v/>
      </c>
      <c r="AC24" s="196"/>
      <c r="AD24" s="196"/>
      <c r="AE24" s="184"/>
      <c r="AF24" s="215"/>
      <c r="AG24" s="231" t="str">
        <f t="shared" si="3"/>
        <v/>
      </c>
      <c r="AH24" s="232" t="str">
        <f t="shared" si="4"/>
        <v/>
      </c>
      <c r="AI24" s="229" t="str">
        <f t="shared" si="5"/>
        <v/>
      </c>
      <c r="AJ24" s="232" t="str">
        <f t="shared" si="6"/>
        <v/>
      </c>
      <c r="AK24" s="229" t="str">
        <f t="shared" si="13"/>
        <v/>
      </c>
      <c r="AL24" s="232" t="str">
        <f t="shared" si="7"/>
        <v/>
      </c>
      <c r="AM24" s="361"/>
      <c r="AN24" s="200">
        <v>2</v>
      </c>
      <c r="AO24" s="359"/>
      <c r="AP24" s="363"/>
      <c r="AQ24" s="365"/>
      <c r="AR24" s="334"/>
      <c r="AS24" s="334"/>
      <c r="AT24" s="221"/>
      <c r="AU24" s="221"/>
      <c r="AV24" s="221"/>
      <c r="AW24" s="221"/>
      <c r="AX24" s="221"/>
      <c r="AY24" s="221"/>
      <c r="AZ24" s="336"/>
      <c r="BA24" s="219"/>
      <c r="BB24" s="219"/>
      <c r="BC24" s="329"/>
      <c r="BD24" s="222"/>
      <c r="BE24" s="185"/>
      <c r="BF24" s="185"/>
      <c r="BG24" s="185"/>
      <c r="BH24" s="185"/>
      <c r="BI24" s="185"/>
      <c r="BJ24" s="185"/>
      <c r="BK24" s="185"/>
      <c r="BL24" s="185"/>
      <c r="BM24" s="185"/>
      <c r="BN24" s="185"/>
      <c r="BO24" s="185"/>
      <c r="BP24" s="185"/>
      <c r="BQ24" s="185"/>
      <c r="BR24" s="185"/>
      <c r="BS24" s="185"/>
      <c r="BT24" s="185"/>
      <c r="BU24" s="185"/>
      <c r="BV24" s="185"/>
      <c r="BW24" s="185"/>
      <c r="BX24" s="185"/>
      <c r="BY24" s="185"/>
      <c r="BZ24" s="185"/>
      <c r="CA24" s="185"/>
      <c r="CB24" s="185"/>
      <c r="CC24" s="185"/>
      <c r="CD24" s="185"/>
    </row>
    <row r="25" spans="4:82" s="183" customFormat="1" ht="39.75" hidden="1" customHeight="1">
      <c r="D25" s="370">
        <v>6</v>
      </c>
      <c r="E25" s="354"/>
      <c r="F25" s="354"/>
      <c r="G25" s="356"/>
      <c r="H25" s="354"/>
      <c r="I25" s="358"/>
      <c r="J25" s="358"/>
      <c r="K25" s="358"/>
      <c r="L25" s="348"/>
      <c r="M25" s="366"/>
      <c r="N25" s="366"/>
      <c r="O25" s="348"/>
      <c r="P25" s="350" t="str">
        <f t="shared" si="17"/>
        <v/>
      </c>
      <c r="Q25" s="352" t="str">
        <f t="shared" ref="Q25" si="21">IF(P25="","",IF(P25="Muy Baja",0.2,IF(P25="Baja",0.4,IF(P25="Media",0.6,IF(P25="Alta",0.8,IF(P25="Muy Alta",1,))))))</f>
        <v/>
      </c>
      <c r="R25" s="372"/>
      <c r="S25" s="317" t="str">
        <f>IFERROR(VLOOKUP(R25,Criterios[],2,FALSE),"")</f>
        <v/>
      </c>
      <c r="T25" s="338" t="str">
        <f t="shared" ref="T25" si="22">IF(S25="","",IF(S25="Leve",0.2,IF(S25="Menor",0.4,IF(S25="Moderado",0.6,IF(S25="Mayor",0.8,IF(S25="Catastrófico",1,))))))</f>
        <v/>
      </c>
      <c r="U25" s="317" t="str">
        <f t="shared" ref="U25" si="23">IF(OR(AND(P25="Muy Baja",S25="Leve"),AND(P25="Muy Baja",S25="Menor"),AND(P25="Baja",S25="Leve")),"Bajo",IF(OR(AND(P25="Muy baja",S25="Moderado"),AND(P25="Baja",S25="Menor"),AND(P25="Baja",S25="Moderado"),AND(P25="Media",S25="Leve"),AND(P25="Media",S25="Menor"),AND(P25="Media",S25="Moderado"),AND(P25="Alta",S25="Leve"),AND(P25="Alta",S25="Menor")),"Moderado",IF(OR(AND(P25="Muy Baja",S25="Mayor"),AND(P25="Baja",S25="Mayor"),AND(P25="Media",S25="Mayor"),AND(P25="Alta",S25="Moderado"),AND(P25="Alta",S25="Mayor"),AND(P25="Muy Alta",S25="Leve"),AND(P25="Muy Alta",S25="Menor"),AND(P25="Muy Alta",S25="Moderado"),AND(P25="Muy Alta",S25="Mayor")),"Alto",IF(OR(AND(P25="Muy Baja",S25="Catastrófico"),AND(P25="Baja",S25="Catastrófico"),AND(P25="Media",S25="Catastrófico"),AND(P25="Alta",S25="Catastrófico"),AND(P25="Muy Alta",S25="Catastrófico")),"Extremo",""))))</f>
        <v/>
      </c>
      <c r="V25" s="192">
        <v>1</v>
      </c>
      <c r="W25" s="193"/>
      <c r="X25" s="194"/>
      <c r="Y25" s="227" t="str">
        <f t="shared" si="1"/>
        <v/>
      </c>
      <c r="Z25" s="196"/>
      <c r="AA25" s="196"/>
      <c r="AB25" s="229" t="str">
        <f t="shared" si="2"/>
        <v/>
      </c>
      <c r="AC25" s="196"/>
      <c r="AD25" s="196"/>
      <c r="AE25" s="184"/>
      <c r="AF25" s="215"/>
      <c r="AG25" s="231" t="str">
        <f t="shared" si="3"/>
        <v/>
      </c>
      <c r="AH25" s="232" t="str">
        <f t="shared" si="4"/>
        <v/>
      </c>
      <c r="AI25" s="229" t="str">
        <f t="shared" si="5"/>
        <v/>
      </c>
      <c r="AJ25" s="232" t="str">
        <f t="shared" si="6"/>
        <v/>
      </c>
      <c r="AK25" s="229" t="str">
        <f t="shared" si="13"/>
        <v/>
      </c>
      <c r="AL25" s="232" t="str">
        <f t="shared" si="7"/>
        <v/>
      </c>
      <c r="AM25" s="360" t="s">
        <v>75</v>
      </c>
      <c r="AN25" s="192">
        <v>1</v>
      </c>
      <c r="AO25" s="358"/>
      <c r="AP25" s="362"/>
      <c r="AQ25" s="364"/>
      <c r="AR25" s="333"/>
      <c r="AS25" s="333"/>
      <c r="AT25" s="221"/>
      <c r="AU25" s="221"/>
      <c r="AV25" s="221"/>
      <c r="AW25" s="221"/>
      <c r="AX25" s="221"/>
      <c r="AY25" s="221"/>
      <c r="AZ25" s="336"/>
      <c r="BA25" s="219"/>
      <c r="BB25" s="219"/>
      <c r="BC25" s="329"/>
      <c r="BD25" s="222"/>
      <c r="BE25" s="185"/>
      <c r="BF25" s="185"/>
      <c r="BG25" s="185"/>
      <c r="BH25" s="185"/>
      <c r="BI25" s="185"/>
      <c r="BJ25" s="185"/>
      <c r="BK25" s="185"/>
      <c r="BL25" s="185"/>
      <c r="BM25" s="185"/>
      <c r="BN25" s="185"/>
      <c r="BO25" s="185"/>
      <c r="BP25" s="185"/>
      <c r="BQ25" s="185"/>
      <c r="BR25" s="185"/>
      <c r="BS25" s="185"/>
      <c r="BT25" s="185"/>
      <c r="BU25" s="185"/>
      <c r="BV25" s="185"/>
      <c r="BW25" s="185"/>
      <c r="BX25" s="185"/>
      <c r="BY25" s="185"/>
      <c r="BZ25" s="185"/>
      <c r="CA25" s="185"/>
      <c r="CB25" s="185"/>
      <c r="CC25" s="185"/>
      <c r="CD25" s="185"/>
    </row>
    <row r="26" spans="4:82" s="183" customFormat="1" ht="39.75" hidden="1" customHeight="1">
      <c r="D26" s="371"/>
      <c r="E26" s="355"/>
      <c r="F26" s="355"/>
      <c r="G26" s="357"/>
      <c r="H26" s="355"/>
      <c r="I26" s="359"/>
      <c r="J26" s="359"/>
      <c r="K26" s="359"/>
      <c r="L26" s="349"/>
      <c r="M26" s="367"/>
      <c r="N26" s="367"/>
      <c r="O26" s="349"/>
      <c r="P26" s="351"/>
      <c r="Q26" s="353"/>
      <c r="R26" s="373"/>
      <c r="S26" s="318"/>
      <c r="T26" s="339"/>
      <c r="U26" s="318"/>
      <c r="V26" s="200">
        <v>2</v>
      </c>
      <c r="W26" s="193"/>
      <c r="X26" s="194"/>
      <c r="Y26" s="227" t="str">
        <f t="shared" si="1"/>
        <v/>
      </c>
      <c r="Z26" s="196"/>
      <c r="AA26" s="196"/>
      <c r="AB26" s="229" t="str">
        <f t="shared" si="2"/>
        <v/>
      </c>
      <c r="AC26" s="196"/>
      <c r="AD26" s="196"/>
      <c r="AE26" s="184"/>
      <c r="AF26" s="215"/>
      <c r="AG26" s="231" t="str">
        <f t="shared" si="3"/>
        <v/>
      </c>
      <c r="AH26" s="232" t="str">
        <f t="shared" si="4"/>
        <v/>
      </c>
      <c r="AI26" s="229" t="str">
        <f t="shared" si="5"/>
        <v/>
      </c>
      <c r="AJ26" s="232" t="str">
        <f t="shared" si="6"/>
        <v/>
      </c>
      <c r="AK26" s="229" t="str">
        <f t="shared" si="13"/>
        <v/>
      </c>
      <c r="AL26" s="232" t="str">
        <f t="shared" si="7"/>
        <v/>
      </c>
      <c r="AM26" s="361"/>
      <c r="AN26" s="200">
        <v>2</v>
      </c>
      <c r="AO26" s="359"/>
      <c r="AP26" s="363"/>
      <c r="AQ26" s="365"/>
      <c r="AR26" s="334"/>
      <c r="AS26" s="334"/>
      <c r="AT26" s="221"/>
      <c r="AU26" s="221"/>
      <c r="AV26" s="221"/>
      <c r="AW26" s="221"/>
      <c r="AX26" s="221"/>
      <c r="AY26" s="221"/>
      <c r="AZ26" s="336"/>
      <c r="BA26" s="219"/>
      <c r="BB26" s="219"/>
      <c r="BC26" s="329"/>
      <c r="BD26" s="222"/>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c r="CA26" s="185"/>
      <c r="CB26" s="185"/>
      <c r="CC26" s="185"/>
      <c r="CD26" s="185"/>
    </row>
    <row r="27" spans="4:82" s="183" customFormat="1" ht="39.75" hidden="1" customHeight="1">
      <c r="D27" s="370">
        <v>7</v>
      </c>
      <c r="E27" s="354"/>
      <c r="F27" s="354"/>
      <c r="G27" s="356"/>
      <c r="H27" s="354"/>
      <c r="I27" s="358"/>
      <c r="J27" s="358"/>
      <c r="K27" s="358"/>
      <c r="L27" s="348"/>
      <c r="M27" s="366"/>
      <c r="N27" s="366"/>
      <c r="O27" s="348"/>
      <c r="P27" s="350" t="str">
        <f t="shared" si="17"/>
        <v/>
      </c>
      <c r="Q27" s="352" t="str">
        <f t="shared" ref="Q27" si="24">IF(P27="","",IF(P27="Muy Baja",0.2,IF(P27="Baja",0.4,IF(P27="Media",0.6,IF(P27="Alta",0.8,IF(P27="Muy Alta",1,))))))</f>
        <v/>
      </c>
      <c r="R27" s="372"/>
      <c r="S27" s="317" t="str">
        <f>IFERROR(VLOOKUP(R27,Criterios[],2,FALSE),"")</f>
        <v/>
      </c>
      <c r="T27" s="338" t="str">
        <f t="shared" ref="T27" si="25">IF(S27="","",IF(S27="Leve",0.2,IF(S27="Menor",0.4,IF(S27="Moderado",0.6,IF(S27="Mayor",0.8,IF(S27="Catastrófico",1,))))))</f>
        <v/>
      </c>
      <c r="U27" s="317" t="str">
        <f t="shared" ref="U27" si="26">IF(OR(AND(P27="Muy Baja",S27="Leve"),AND(P27="Muy Baja",S27="Menor"),AND(P27="Baja",S27="Leve")),"Bajo",IF(OR(AND(P27="Muy baja",S27="Moderado"),AND(P27="Baja",S27="Menor"),AND(P27="Baja",S27="Moderado"),AND(P27="Media",S27="Leve"),AND(P27="Media",S27="Menor"),AND(P27="Media",S27="Moderado"),AND(P27="Alta",S27="Leve"),AND(P27="Alta",S27="Menor")),"Moderado",IF(OR(AND(P27="Muy Baja",S27="Mayor"),AND(P27="Baja",S27="Mayor"),AND(P27="Media",S27="Mayor"),AND(P27="Alta",S27="Moderado"),AND(P27="Alta",S27="Mayor"),AND(P27="Muy Alta",S27="Leve"),AND(P27="Muy Alta",S27="Menor"),AND(P27="Muy Alta",S27="Moderado"),AND(P27="Muy Alta",S27="Mayor")),"Alto",IF(OR(AND(P27="Muy Baja",S27="Catastrófico"),AND(P27="Baja",S27="Catastrófico"),AND(P27="Media",S27="Catastrófico"),AND(P27="Alta",S27="Catastrófico"),AND(P27="Muy Alta",S27="Catastrófico")),"Extremo",""))))</f>
        <v/>
      </c>
      <c r="V27" s="192">
        <v>1</v>
      </c>
      <c r="W27" s="193"/>
      <c r="X27" s="194"/>
      <c r="Y27" s="227" t="str">
        <f t="shared" si="1"/>
        <v/>
      </c>
      <c r="Z27" s="196"/>
      <c r="AA27" s="196"/>
      <c r="AB27" s="229" t="str">
        <f t="shared" si="2"/>
        <v/>
      </c>
      <c r="AC27" s="196"/>
      <c r="AD27" s="196"/>
      <c r="AE27" s="184"/>
      <c r="AF27" s="215"/>
      <c r="AG27" s="231" t="str">
        <f t="shared" si="3"/>
        <v/>
      </c>
      <c r="AH27" s="232" t="str">
        <f t="shared" si="4"/>
        <v/>
      </c>
      <c r="AI27" s="229" t="str">
        <f t="shared" si="5"/>
        <v/>
      </c>
      <c r="AJ27" s="232" t="str">
        <f t="shared" si="6"/>
        <v/>
      </c>
      <c r="AK27" s="229" t="str">
        <f t="shared" si="13"/>
        <v/>
      </c>
      <c r="AL27" s="232" t="str">
        <f t="shared" si="7"/>
        <v/>
      </c>
      <c r="AM27" s="360" t="s">
        <v>75</v>
      </c>
      <c r="AN27" s="192">
        <v>1</v>
      </c>
      <c r="AO27" s="358"/>
      <c r="AP27" s="362"/>
      <c r="AQ27" s="364"/>
      <c r="AR27" s="333"/>
      <c r="AS27" s="364"/>
      <c r="AT27" s="221"/>
      <c r="AU27" s="221"/>
      <c r="AV27" s="221"/>
      <c r="AW27" s="221"/>
      <c r="AX27" s="221"/>
      <c r="AY27" s="221"/>
      <c r="AZ27" s="336"/>
      <c r="BA27" s="219"/>
      <c r="BB27" s="219"/>
      <c r="BC27" s="329"/>
      <c r="BD27" s="222"/>
      <c r="BE27" s="185"/>
      <c r="BF27" s="185"/>
      <c r="BG27" s="185"/>
      <c r="BH27" s="185"/>
      <c r="BI27" s="185"/>
      <c r="BJ27" s="185"/>
      <c r="BK27" s="185"/>
      <c r="BL27" s="185"/>
      <c r="BM27" s="185"/>
      <c r="BN27" s="185"/>
      <c r="BO27" s="185"/>
      <c r="BP27" s="185"/>
      <c r="BQ27" s="185"/>
      <c r="BR27" s="185"/>
      <c r="BS27" s="185"/>
      <c r="BT27" s="185"/>
      <c r="BU27" s="185"/>
      <c r="BV27" s="185"/>
      <c r="BW27" s="185"/>
      <c r="BX27" s="185"/>
      <c r="BY27" s="185"/>
      <c r="BZ27" s="185"/>
      <c r="CA27" s="185"/>
      <c r="CB27" s="185"/>
      <c r="CC27" s="185"/>
      <c r="CD27" s="185"/>
    </row>
    <row r="28" spans="4:82" s="183" customFormat="1" ht="39.75" hidden="1" customHeight="1">
      <c r="D28" s="371"/>
      <c r="E28" s="355"/>
      <c r="F28" s="355"/>
      <c r="G28" s="357"/>
      <c r="H28" s="355"/>
      <c r="I28" s="359"/>
      <c r="J28" s="359"/>
      <c r="K28" s="359"/>
      <c r="L28" s="349"/>
      <c r="M28" s="367"/>
      <c r="N28" s="367"/>
      <c r="O28" s="349"/>
      <c r="P28" s="351"/>
      <c r="Q28" s="353"/>
      <c r="R28" s="373"/>
      <c r="S28" s="318"/>
      <c r="T28" s="339"/>
      <c r="U28" s="318"/>
      <c r="V28" s="200">
        <v>2</v>
      </c>
      <c r="W28" s="193"/>
      <c r="X28" s="194"/>
      <c r="Y28" s="227" t="str">
        <f t="shared" si="1"/>
        <v/>
      </c>
      <c r="Z28" s="196"/>
      <c r="AA28" s="196"/>
      <c r="AB28" s="229" t="str">
        <f t="shared" si="2"/>
        <v/>
      </c>
      <c r="AC28" s="196"/>
      <c r="AD28" s="196"/>
      <c r="AE28" s="184"/>
      <c r="AF28" s="215"/>
      <c r="AG28" s="231" t="str">
        <f t="shared" si="3"/>
        <v/>
      </c>
      <c r="AH28" s="232" t="str">
        <f t="shared" si="4"/>
        <v/>
      </c>
      <c r="AI28" s="229" t="str">
        <f t="shared" si="5"/>
        <v/>
      </c>
      <c r="AJ28" s="232" t="str">
        <f t="shared" si="6"/>
        <v/>
      </c>
      <c r="AK28" s="229" t="str">
        <f t="shared" si="13"/>
        <v/>
      </c>
      <c r="AL28" s="232" t="str">
        <f t="shared" si="7"/>
        <v/>
      </c>
      <c r="AM28" s="361"/>
      <c r="AN28" s="200">
        <v>2</v>
      </c>
      <c r="AO28" s="359"/>
      <c r="AP28" s="363"/>
      <c r="AQ28" s="365"/>
      <c r="AR28" s="334"/>
      <c r="AS28" s="365"/>
      <c r="AT28" s="221"/>
      <c r="AU28" s="221"/>
      <c r="AV28" s="221"/>
      <c r="AW28" s="221"/>
      <c r="AX28" s="221"/>
      <c r="AY28" s="221"/>
      <c r="AZ28" s="336"/>
      <c r="BA28" s="219"/>
      <c r="BB28" s="219"/>
      <c r="BC28" s="329"/>
      <c r="BD28" s="222"/>
      <c r="BE28" s="185"/>
      <c r="BF28" s="185"/>
      <c r="BG28" s="185"/>
      <c r="BH28" s="185"/>
      <c r="BI28" s="185"/>
      <c r="BJ28" s="185"/>
      <c r="BK28" s="185"/>
      <c r="BL28" s="185"/>
      <c r="BM28" s="185"/>
      <c r="BN28" s="185"/>
      <c r="BO28" s="185"/>
      <c r="BP28" s="185"/>
      <c r="BQ28" s="185"/>
      <c r="BR28" s="185"/>
      <c r="BS28" s="185"/>
      <c r="BT28" s="185"/>
      <c r="BU28" s="185"/>
      <c r="BV28" s="185"/>
      <c r="BW28" s="185"/>
      <c r="BX28" s="185"/>
      <c r="BY28" s="185"/>
      <c r="BZ28" s="185"/>
      <c r="CA28" s="185"/>
      <c r="CB28" s="185"/>
      <c r="CC28" s="185"/>
      <c r="CD28" s="185"/>
    </row>
    <row r="29" spans="4:82" s="183" customFormat="1" ht="39.75" hidden="1" customHeight="1">
      <c r="D29" s="374">
        <v>8</v>
      </c>
      <c r="E29" s="354"/>
      <c r="F29" s="354"/>
      <c r="G29" s="356"/>
      <c r="H29" s="354"/>
      <c r="I29" s="358"/>
      <c r="J29" s="358"/>
      <c r="K29" s="358"/>
      <c r="L29" s="348"/>
      <c r="M29" s="366"/>
      <c r="N29" s="366"/>
      <c r="O29" s="348"/>
      <c r="P29" s="350" t="str">
        <f t="shared" si="17"/>
        <v/>
      </c>
      <c r="Q29" s="352" t="str">
        <f t="shared" ref="Q29" si="27">IF(P29="","",IF(P29="Muy Baja",0.2,IF(P29="Baja",0.4,IF(P29="Media",0.6,IF(P29="Alta",0.8,IF(P29="Muy Alta",1,))))))</f>
        <v/>
      </c>
      <c r="R29" s="372"/>
      <c r="S29" s="317" t="str">
        <f>IFERROR(VLOOKUP(R29,Criterios[],2,FALSE),"")</f>
        <v/>
      </c>
      <c r="T29" s="338" t="str">
        <f t="shared" ref="T29" si="28">IF(S29="","",IF(S29="Leve",0.2,IF(S29="Menor",0.4,IF(S29="Moderado",0.6,IF(S29="Mayor",0.8,IF(S29="Catastrófico",1,))))))</f>
        <v/>
      </c>
      <c r="U29" s="317" t="str">
        <f t="shared" ref="U29" si="29">IF(OR(AND(P29="Muy Baja",S29="Leve"),AND(P29="Muy Baja",S29="Menor"),AND(P29="Baja",S29="Leve")),"Bajo",IF(OR(AND(P29="Muy baja",S29="Moderado"),AND(P29="Baja",S29="Menor"),AND(P29="Baja",S29="Moderado"),AND(P29="Media",S29="Leve"),AND(P29="Media",S29="Menor"),AND(P29="Media",S29="Moderado"),AND(P29="Alta",S29="Leve"),AND(P29="Alta",S29="Menor")),"Moderado",IF(OR(AND(P29="Muy Baja",S29="Mayor"),AND(P29="Baja",S29="Mayor"),AND(P29="Media",S29="Mayor"),AND(P29="Alta",S29="Moderado"),AND(P29="Alta",S29="Mayor"),AND(P29="Muy Alta",S29="Leve"),AND(P29="Muy Alta",S29="Menor"),AND(P29="Muy Alta",S29="Moderado"),AND(P29="Muy Alta",S29="Mayor")),"Alto",IF(OR(AND(P29="Muy Baja",S29="Catastrófico"),AND(P29="Baja",S29="Catastrófico"),AND(P29="Media",S29="Catastrófico"),AND(P29="Alta",S29="Catastrófico"),AND(P29="Muy Alta",S29="Catastrófico")),"Extremo",""))))</f>
        <v/>
      </c>
      <c r="V29" s="192">
        <v>1</v>
      </c>
      <c r="W29" s="193"/>
      <c r="X29" s="194"/>
      <c r="Y29" s="227" t="str">
        <f t="shared" si="1"/>
        <v/>
      </c>
      <c r="Z29" s="196"/>
      <c r="AA29" s="196"/>
      <c r="AB29" s="229" t="str">
        <f t="shared" si="2"/>
        <v/>
      </c>
      <c r="AC29" s="196"/>
      <c r="AD29" s="196"/>
      <c r="AE29" s="184"/>
      <c r="AF29" s="215"/>
      <c r="AG29" s="231" t="str">
        <f t="shared" si="3"/>
        <v/>
      </c>
      <c r="AH29" s="232" t="str">
        <f t="shared" si="4"/>
        <v/>
      </c>
      <c r="AI29" s="229" t="str">
        <f t="shared" si="5"/>
        <v/>
      </c>
      <c r="AJ29" s="232" t="str">
        <f t="shared" si="6"/>
        <v/>
      </c>
      <c r="AK29" s="229" t="str">
        <f t="shared" si="13"/>
        <v/>
      </c>
      <c r="AL29" s="232" t="str">
        <f t="shared" si="7"/>
        <v/>
      </c>
      <c r="AM29" s="360" t="s">
        <v>75</v>
      </c>
      <c r="AN29" s="192">
        <v>1</v>
      </c>
      <c r="AO29" s="358"/>
      <c r="AP29" s="362"/>
      <c r="AQ29" s="364"/>
      <c r="AR29" s="333"/>
      <c r="AS29" s="364"/>
      <c r="AT29" s="221"/>
      <c r="AU29" s="221"/>
      <c r="AV29" s="221"/>
      <c r="AW29" s="221"/>
      <c r="AX29" s="221"/>
      <c r="AY29" s="221"/>
      <c r="AZ29" s="336"/>
      <c r="BA29" s="219"/>
      <c r="BB29" s="219"/>
      <c r="BC29" s="329"/>
      <c r="BD29" s="222"/>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row>
    <row r="30" spans="4:82" s="183" customFormat="1" ht="39.75" hidden="1" customHeight="1">
      <c r="D30" s="375"/>
      <c r="E30" s="355"/>
      <c r="F30" s="355"/>
      <c r="G30" s="357"/>
      <c r="H30" s="355"/>
      <c r="I30" s="359"/>
      <c r="J30" s="359"/>
      <c r="K30" s="359"/>
      <c r="L30" s="349"/>
      <c r="M30" s="367"/>
      <c r="N30" s="367"/>
      <c r="O30" s="349"/>
      <c r="P30" s="351"/>
      <c r="Q30" s="353"/>
      <c r="R30" s="373"/>
      <c r="S30" s="318"/>
      <c r="T30" s="339"/>
      <c r="U30" s="318"/>
      <c r="V30" s="200">
        <v>2</v>
      </c>
      <c r="W30" s="193"/>
      <c r="X30" s="194"/>
      <c r="Y30" s="227" t="str">
        <f t="shared" si="1"/>
        <v/>
      </c>
      <c r="Z30" s="196"/>
      <c r="AA30" s="196"/>
      <c r="AB30" s="229" t="str">
        <f t="shared" si="2"/>
        <v/>
      </c>
      <c r="AC30" s="196"/>
      <c r="AD30" s="196"/>
      <c r="AE30" s="184"/>
      <c r="AF30" s="215"/>
      <c r="AG30" s="231" t="str">
        <f t="shared" si="3"/>
        <v/>
      </c>
      <c r="AH30" s="232" t="str">
        <f t="shared" si="4"/>
        <v/>
      </c>
      <c r="AI30" s="229" t="str">
        <f t="shared" si="5"/>
        <v/>
      </c>
      <c r="AJ30" s="232" t="str">
        <f t="shared" si="6"/>
        <v/>
      </c>
      <c r="AK30" s="229" t="str">
        <f t="shared" si="13"/>
        <v/>
      </c>
      <c r="AL30" s="232" t="str">
        <f t="shared" si="7"/>
        <v/>
      </c>
      <c r="AM30" s="361"/>
      <c r="AN30" s="200">
        <v>2</v>
      </c>
      <c r="AO30" s="359"/>
      <c r="AP30" s="363"/>
      <c r="AQ30" s="365"/>
      <c r="AR30" s="334"/>
      <c r="AS30" s="365"/>
      <c r="AT30" s="221"/>
      <c r="AU30" s="221"/>
      <c r="AV30" s="221"/>
      <c r="AW30" s="221"/>
      <c r="AX30" s="221"/>
      <c r="AY30" s="221"/>
      <c r="AZ30" s="336"/>
      <c r="BA30" s="219"/>
      <c r="BB30" s="219"/>
      <c r="BC30" s="329"/>
      <c r="BD30" s="222"/>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row>
    <row r="31" spans="4:82" s="183" customFormat="1" ht="39.75" hidden="1" customHeight="1">
      <c r="D31" s="368">
        <v>9</v>
      </c>
      <c r="E31" s="354"/>
      <c r="F31" s="354"/>
      <c r="G31" s="356"/>
      <c r="H31" s="354"/>
      <c r="I31" s="358"/>
      <c r="J31" s="358"/>
      <c r="K31" s="358"/>
      <c r="L31" s="348"/>
      <c r="M31" s="366"/>
      <c r="N31" s="366"/>
      <c r="O31" s="348"/>
      <c r="P31" s="350" t="str">
        <f t="shared" si="17"/>
        <v/>
      </c>
      <c r="Q31" s="352" t="str">
        <f t="shared" ref="Q31" si="30">IF(P31="","",IF(P31="Muy Baja",0.2,IF(P31="Baja",0.4,IF(P31="Media",0.6,IF(P31="Alta",0.8,IF(P31="Muy Alta",1,))))))</f>
        <v/>
      </c>
      <c r="R31" s="372"/>
      <c r="S31" s="317" t="str">
        <f>IFERROR(VLOOKUP(R31,Criterios[],2,FALSE),"")</f>
        <v/>
      </c>
      <c r="T31" s="338" t="str">
        <f t="shared" ref="T31" si="31">IF(S31="","",IF(S31="Leve",0.2,IF(S31="Menor",0.4,IF(S31="Moderado",0.6,IF(S31="Mayor",0.8,IF(S31="Catastrófico",1,))))))</f>
        <v/>
      </c>
      <c r="U31" s="317" t="str">
        <f t="shared" ref="U31" si="32">IF(OR(AND(P31="Muy Baja",S31="Leve"),AND(P31="Muy Baja",S31="Menor"),AND(P31="Baja",S31="Leve")),"Bajo",IF(OR(AND(P31="Muy baja",S31="Moderado"),AND(P31="Baja",S31="Menor"),AND(P31="Baja",S31="Moderado"),AND(P31="Media",S31="Leve"),AND(P31="Media",S31="Menor"),AND(P31="Media",S31="Moderado"),AND(P31="Alta",S31="Leve"),AND(P31="Alta",S31="Menor")),"Moderado",IF(OR(AND(P31="Muy Baja",S31="Mayor"),AND(P31="Baja",S31="Mayor"),AND(P31="Media",S31="Mayor"),AND(P31="Alta",S31="Moderado"),AND(P31="Alta",S31="Mayor"),AND(P31="Muy Alta",S31="Leve"),AND(P31="Muy Alta",S31="Menor"),AND(P31="Muy Alta",S31="Moderado"),AND(P31="Muy Alta",S31="Mayor")),"Alto",IF(OR(AND(P31="Muy Baja",S31="Catastrófico"),AND(P31="Baja",S31="Catastrófico"),AND(P31="Media",S31="Catastrófico"),AND(P31="Alta",S31="Catastrófico"),AND(P31="Muy Alta",S31="Catastrófico")),"Extremo",""))))</f>
        <v/>
      </c>
      <c r="V31" s="192">
        <v>1</v>
      </c>
      <c r="W31" s="193"/>
      <c r="X31" s="194"/>
      <c r="Y31" s="227" t="str">
        <f t="shared" si="1"/>
        <v/>
      </c>
      <c r="Z31" s="196"/>
      <c r="AA31" s="196"/>
      <c r="AB31" s="229" t="str">
        <f t="shared" si="2"/>
        <v/>
      </c>
      <c r="AC31" s="196"/>
      <c r="AD31" s="196"/>
      <c r="AE31" s="184"/>
      <c r="AF31" s="215"/>
      <c r="AG31" s="231" t="str">
        <f t="shared" si="3"/>
        <v/>
      </c>
      <c r="AH31" s="232" t="str">
        <f t="shared" si="4"/>
        <v/>
      </c>
      <c r="AI31" s="229" t="str">
        <f t="shared" si="5"/>
        <v/>
      </c>
      <c r="AJ31" s="232" t="str">
        <f t="shared" si="6"/>
        <v/>
      </c>
      <c r="AK31" s="229" t="str">
        <f t="shared" si="13"/>
        <v/>
      </c>
      <c r="AL31" s="232" t="str">
        <f t="shared" si="7"/>
        <v/>
      </c>
      <c r="AM31" s="360" t="s">
        <v>75</v>
      </c>
      <c r="AN31" s="192">
        <v>1</v>
      </c>
      <c r="AO31" s="358"/>
      <c r="AP31" s="362"/>
      <c r="AQ31" s="364"/>
      <c r="AR31" s="333"/>
      <c r="AS31" s="364"/>
      <c r="AT31" s="221"/>
      <c r="AU31" s="221"/>
      <c r="AV31" s="221"/>
      <c r="AW31" s="221"/>
      <c r="AX31" s="221"/>
      <c r="AY31" s="221"/>
      <c r="AZ31" s="336"/>
      <c r="BA31" s="219"/>
      <c r="BB31" s="219"/>
      <c r="BC31" s="329"/>
      <c r="BD31" s="222"/>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row>
    <row r="32" spans="4:82" s="183" customFormat="1" ht="39.75" hidden="1" customHeight="1">
      <c r="D32" s="369"/>
      <c r="E32" s="355"/>
      <c r="F32" s="355"/>
      <c r="G32" s="357"/>
      <c r="H32" s="355"/>
      <c r="I32" s="359"/>
      <c r="J32" s="359"/>
      <c r="K32" s="359"/>
      <c r="L32" s="349"/>
      <c r="M32" s="367"/>
      <c r="N32" s="367"/>
      <c r="O32" s="349"/>
      <c r="P32" s="351"/>
      <c r="Q32" s="353"/>
      <c r="R32" s="373"/>
      <c r="S32" s="318"/>
      <c r="T32" s="339"/>
      <c r="U32" s="318"/>
      <c r="V32" s="200">
        <v>2</v>
      </c>
      <c r="W32" s="193"/>
      <c r="X32" s="194"/>
      <c r="Y32" s="227" t="str">
        <f t="shared" si="1"/>
        <v/>
      </c>
      <c r="Z32" s="196"/>
      <c r="AA32" s="196"/>
      <c r="AB32" s="229" t="str">
        <f t="shared" si="2"/>
        <v/>
      </c>
      <c r="AC32" s="196"/>
      <c r="AD32" s="196"/>
      <c r="AE32" s="184"/>
      <c r="AF32" s="217"/>
      <c r="AG32" s="231" t="str">
        <f t="shared" si="3"/>
        <v/>
      </c>
      <c r="AH32" s="232" t="str">
        <f t="shared" si="4"/>
        <v/>
      </c>
      <c r="AI32" s="229"/>
      <c r="AJ32" s="232" t="str">
        <f t="shared" si="6"/>
        <v/>
      </c>
      <c r="AK32" s="229" t="str">
        <f t="shared" si="13"/>
        <v/>
      </c>
      <c r="AL32" s="232" t="str">
        <f t="shared" si="7"/>
        <v/>
      </c>
      <c r="AM32" s="361"/>
      <c r="AN32" s="200">
        <v>2</v>
      </c>
      <c r="AO32" s="359"/>
      <c r="AP32" s="363"/>
      <c r="AQ32" s="365"/>
      <c r="AR32" s="334"/>
      <c r="AS32" s="365"/>
      <c r="AT32" s="221"/>
      <c r="AU32" s="221"/>
      <c r="AV32" s="221"/>
      <c r="AW32" s="221"/>
      <c r="AX32" s="221"/>
      <c r="AY32" s="221"/>
      <c r="AZ32" s="337"/>
      <c r="BA32" s="219"/>
      <c r="BB32" s="219"/>
      <c r="BC32" s="330"/>
      <c r="BD32" s="222"/>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row>
    <row r="33" spans="4:60" ht="49.5" customHeight="1">
      <c r="D33" s="186"/>
      <c r="E33" s="187"/>
      <c r="F33" s="187"/>
      <c r="G33" s="187"/>
      <c r="H33" s="187"/>
      <c r="I33" s="384" t="s">
        <v>76</v>
      </c>
      <c r="J33" s="384"/>
      <c r="K33" s="384"/>
      <c r="L33" s="384"/>
      <c r="M33" s="384"/>
      <c r="N33" s="384"/>
      <c r="O33" s="384"/>
      <c r="P33" s="384"/>
      <c r="Q33" s="384"/>
      <c r="R33" s="384"/>
      <c r="S33" s="384"/>
      <c r="T33" s="384"/>
      <c r="U33" s="384"/>
      <c r="V33" s="384"/>
      <c r="W33" s="384"/>
      <c r="X33" s="384"/>
      <c r="Y33" s="384"/>
      <c r="Z33" s="384"/>
      <c r="AA33" s="384"/>
      <c r="AB33" s="384"/>
      <c r="AC33" s="384"/>
      <c r="AD33" s="384"/>
      <c r="AE33" s="384"/>
      <c r="AF33" s="384"/>
      <c r="AG33" s="384"/>
      <c r="AH33" s="384"/>
      <c r="AI33" s="384"/>
      <c r="AJ33" s="384"/>
      <c r="AK33" s="384"/>
      <c r="AL33" s="384"/>
      <c r="AM33" s="384"/>
      <c r="AN33" s="384"/>
      <c r="AO33" s="384"/>
      <c r="AP33" s="384"/>
      <c r="AQ33" s="384"/>
      <c r="AR33" s="384"/>
      <c r="AS33" s="384"/>
      <c r="AT33" s="384"/>
      <c r="AU33" s="384"/>
      <c r="AV33" s="384"/>
      <c r="AW33" s="384"/>
      <c r="AX33" s="384"/>
      <c r="AY33" s="384"/>
    </row>
    <row r="35" spans="4:60" ht="15.75">
      <c r="D35" s="104"/>
      <c r="E35" s="105"/>
      <c r="F35" s="105"/>
      <c r="G35" s="105"/>
      <c r="H35" s="105"/>
      <c r="I35" s="105"/>
      <c r="J35" s="105"/>
      <c r="K35" s="105"/>
      <c r="L35" s="169"/>
      <c r="M35" s="169"/>
      <c r="N35" s="169"/>
      <c r="P35" s="106"/>
      <c r="Q35" s="105"/>
      <c r="R35" s="105"/>
      <c r="S35" s="105"/>
      <c r="T35" s="105"/>
      <c r="U35" s="105"/>
      <c r="V35" s="105"/>
      <c r="W35" s="105"/>
      <c r="X35" s="105"/>
      <c r="Y35" s="107"/>
      <c r="Z35" s="107"/>
      <c r="AA35" s="105"/>
      <c r="AB35" s="105"/>
      <c r="AC35" s="105"/>
      <c r="AD35" s="105"/>
      <c r="AE35" s="105"/>
      <c r="AF35" s="105"/>
      <c r="AG35" s="105"/>
      <c r="AH35" s="105"/>
      <c r="AI35" s="105"/>
      <c r="AJ35" s="105"/>
      <c r="AK35" s="105"/>
      <c r="AL35" s="105"/>
      <c r="AM35" s="108"/>
      <c r="AN35" s="108"/>
      <c r="AO35" s="108"/>
      <c r="AP35" s="105"/>
      <c r="AQ35" s="105"/>
      <c r="AR35" s="105"/>
      <c r="AS35" s="105"/>
      <c r="AT35" s="105"/>
      <c r="AU35" s="105"/>
      <c r="AV35" s="105"/>
      <c r="AW35" s="105"/>
      <c r="AX35" s="105"/>
      <c r="AY35" s="105"/>
      <c r="AZ35" s="105"/>
      <c r="BA35" s="105"/>
    </row>
    <row r="36" spans="4:60" ht="18">
      <c r="D36" s="380" t="s">
        <v>140</v>
      </c>
      <c r="E36" s="380"/>
      <c r="F36" s="380"/>
      <c r="G36" s="380"/>
      <c r="H36" s="380"/>
      <c r="I36" s="380"/>
      <c r="J36" s="380"/>
      <c r="K36" s="380"/>
      <c r="L36" s="169"/>
      <c r="M36" s="169"/>
      <c r="N36" s="169"/>
      <c r="O36" s="381"/>
      <c r="P36" s="382"/>
      <c r="Q36" s="382"/>
      <c r="R36" s="383"/>
      <c r="S36" s="105"/>
      <c r="T36" s="105"/>
      <c r="U36" s="105"/>
      <c r="V36" s="105"/>
      <c r="W36" s="105"/>
      <c r="X36" s="108"/>
      <c r="Y36" s="107"/>
      <c r="Z36" s="107"/>
      <c r="AA36" s="105"/>
      <c r="AB36" s="107"/>
      <c r="AC36" s="107"/>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H36" s="169" t="s">
        <v>78</v>
      </c>
    </row>
    <row r="37" spans="4:60" ht="15" thickBot="1">
      <c r="D37" s="169"/>
      <c r="E37" s="169"/>
      <c r="F37" s="169"/>
      <c r="G37" s="169"/>
      <c r="H37" s="169"/>
      <c r="I37" s="169"/>
      <c r="J37" s="169"/>
      <c r="L37" s="169"/>
      <c r="M37" s="169"/>
      <c r="N37" s="169"/>
      <c r="P37" s="171" t="str">
        <f>+IFERROR(VLOOKUP(L37,$L$192:$P$196,3,FALSE)*VLOOKUP(O37,$O$192:$P$196,3,FALSE),"")</f>
        <v/>
      </c>
      <c r="Y37" s="171"/>
      <c r="Z37" s="188"/>
      <c r="AB37" s="188"/>
      <c r="AC37" s="188"/>
      <c r="AD37" s="189"/>
      <c r="AE37" s="189"/>
      <c r="AF37" s="189"/>
      <c r="AG37" s="189"/>
      <c r="AH37" s="189"/>
      <c r="AI37" s="109"/>
      <c r="AJ37" s="109"/>
      <c r="AK37" s="189"/>
      <c r="AL37" s="190"/>
      <c r="AQ37" s="189"/>
      <c r="AR37" s="189"/>
      <c r="AY37" s="189"/>
      <c r="AZ37" s="189"/>
      <c r="BH37" s="169" t="s">
        <v>79</v>
      </c>
    </row>
    <row r="38" spans="4:60" ht="17.850000000000001" customHeight="1" thickTop="1" thickBot="1">
      <c r="D38" s="379" t="s">
        <v>80</v>
      </c>
      <c r="E38" s="379"/>
      <c r="F38" s="379"/>
      <c r="G38" s="379"/>
      <c r="H38" s="379"/>
      <c r="I38" s="379"/>
      <c r="J38" s="379"/>
      <c r="K38" s="208" t="s">
        <v>81</v>
      </c>
      <c r="L38" s="379" t="s">
        <v>82</v>
      </c>
      <c r="M38" s="379"/>
      <c r="N38" s="379"/>
      <c r="O38" s="379"/>
      <c r="P38" s="379"/>
      <c r="Q38" s="379"/>
      <c r="R38" s="379"/>
      <c r="S38" s="376" t="s">
        <v>83</v>
      </c>
      <c r="T38" s="376"/>
      <c r="U38" s="376"/>
      <c r="V38" s="379" t="s">
        <v>84</v>
      </c>
      <c r="W38" s="379"/>
      <c r="X38" s="379"/>
      <c r="Y38" s="379"/>
      <c r="Z38" s="376">
        <v>1</v>
      </c>
      <c r="AA38" s="376"/>
      <c r="AB38" s="376"/>
      <c r="AC38" s="376"/>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0"/>
      <c r="BH38" s="169" t="s">
        <v>85</v>
      </c>
    </row>
    <row r="39" spans="4:60" ht="13.5" customHeight="1" thickTop="1">
      <c r="D39" s="377" t="s">
        <v>86</v>
      </c>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BH39" s="169" t="s">
        <v>87</v>
      </c>
    </row>
  </sheetData>
  <protectedRanges>
    <protectedRange sqref="P1:P1048576" name="Rango1_2"/>
  </protectedRanges>
  <mergeCells count="296">
    <mergeCell ref="AP17:AP18"/>
    <mergeCell ref="AQ17:AQ18"/>
    <mergeCell ref="AN15:AN16"/>
    <mergeCell ref="AT15:AT16"/>
    <mergeCell ref="AN17:AN18"/>
    <mergeCell ref="L15:L16"/>
    <mergeCell ref="L17:L18"/>
    <mergeCell ref="I15:I16"/>
    <mergeCell ref="J15:J16"/>
    <mergeCell ref="K15:K16"/>
    <mergeCell ref="I17:I18"/>
    <mergeCell ref="J17:J18"/>
    <mergeCell ref="K17:K18"/>
    <mergeCell ref="AP15:AP16"/>
    <mergeCell ref="AQ15:AQ16"/>
    <mergeCell ref="AO15:AO16"/>
    <mergeCell ref="AS15:AS16"/>
    <mergeCell ref="AS17:AS18"/>
    <mergeCell ref="AM17:AM18"/>
    <mergeCell ref="Q17:Q18"/>
    <mergeCell ref="R17:R18"/>
    <mergeCell ref="AR15:AR16"/>
    <mergeCell ref="S17:S18"/>
    <mergeCell ref="T17:T18"/>
    <mergeCell ref="AS19:AS20"/>
    <mergeCell ref="AS21:AS22"/>
    <mergeCell ref="AS23:AS24"/>
    <mergeCell ref="AS25:AS26"/>
    <mergeCell ref="AS27:AS28"/>
    <mergeCell ref="AS29:AS30"/>
    <mergeCell ref="D36:K36"/>
    <mergeCell ref="O36:R36"/>
    <mergeCell ref="AM31:AM32"/>
    <mergeCell ref="AO31:AO32"/>
    <mergeCell ref="AP31:AP32"/>
    <mergeCell ref="AQ31:AQ32"/>
    <mergeCell ref="AR31:AR32"/>
    <mergeCell ref="I33:AY33"/>
    <mergeCell ref="AS31:AS32"/>
    <mergeCell ref="P31:P32"/>
    <mergeCell ref="U31:U32"/>
    <mergeCell ref="J31:J32"/>
    <mergeCell ref="K31:K32"/>
    <mergeCell ref="L31:L32"/>
    <mergeCell ref="M31:M32"/>
    <mergeCell ref="N31:N32"/>
    <mergeCell ref="O31:O32"/>
    <mergeCell ref="AO29:AO30"/>
    <mergeCell ref="Z38:AC38"/>
    <mergeCell ref="D39:AC39"/>
    <mergeCell ref="D38:J38"/>
    <mergeCell ref="L38:R38"/>
    <mergeCell ref="S38:U38"/>
    <mergeCell ref="V38:Y38"/>
    <mergeCell ref="U29:U30"/>
    <mergeCell ref="AM29:AM30"/>
    <mergeCell ref="D31:D32"/>
    <mergeCell ref="E31:E32"/>
    <mergeCell ref="F31:F32"/>
    <mergeCell ref="G31:G32"/>
    <mergeCell ref="H31:H32"/>
    <mergeCell ref="I31:I32"/>
    <mergeCell ref="Q31:Q32"/>
    <mergeCell ref="R31:R32"/>
    <mergeCell ref="S31:S32"/>
    <mergeCell ref="T31:T32"/>
    <mergeCell ref="I29:I30"/>
    <mergeCell ref="J29:J30"/>
    <mergeCell ref="K29:K30"/>
    <mergeCell ref="L29:L30"/>
    <mergeCell ref="M29:M30"/>
    <mergeCell ref="N29:N30"/>
    <mergeCell ref="D29:D30"/>
    <mergeCell ref="E29:E30"/>
    <mergeCell ref="F29:F30"/>
    <mergeCell ref="G29:G30"/>
    <mergeCell ref="H29:H30"/>
    <mergeCell ref="P27:P28"/>
    <mergeCell ref="Q27:Q28"/>
    <mergeCell ref="R27:R28"/>
    <mergeCell ref="S27:S28"/>
    <mergeCell ref="J27:J28"/>
    <mergeCell ref="K27:K28"/>
    <mergeCell ref="L27:L28"/>
    <mergeCell ref="M27:M28"/>
    <mergeCell ref="N27:N28"/>
    <mergeCell ref="O27:O28"/>
    <mergeCell ref="D27:D28"/>
    <mergeCell ref="E27:E28"/>
    <mergeCell ref="AP29:AP30"/>
    <mergeCell ref="AQ29:AQ30"/>
    <mergeCell ref="AR29:AR30"/>
    <mergeCell ref="O29:O30"/>
    <mergeCell ref="F27:F28"/>
    <mergeCell ref="G27:G28"/>
    <mergeCell ref="H27:H28"/>
    <mergeCell ref="I27:I28"/>
    <mergeCell ref="P29:P30"/>
    <mergeCell ref="Q29:Q30"/>
    <mergeCell ref="R29:R30"/>
    <mergeCell ref="S29:S30"/>
    <mergeCell ref="T29:T30"/>
    <mergeCell ref="AR27:AR28"/>
    <mergeCell ref="T27:T28"/>
    <mergeCell ref="U27:U28"/>
    <mergeCell ref="U25:U26"/>
    <mergeCell ref="AM25:AM26"/>
    <mergeCell ref="AO25:AO26"/>
    <mergeCell ref="AP25:AP26"/>
    <mergeCell ref="AQ25:AQ26"/>
    <mergeCell ref="AM27:AM28"/>
    <mergeCell ref="AO27:AO28"/>
    <mergeCell ref="AP27:AP28"/>
    <mergeCell ref="AQ27:AQ28"/>
    <mergeCell ref="R25:R26"/>
    <mergeCell ref="S25:S26"/>
    <mergeCell ref="T25:T26"/>
    <mergeCell ref="I25:I26"/>
    <mergeCell ref="J25:J26"/>
    <mergeCell ref="K25:K26"/>
    <mergeCell ref="L25:L26"/>
    <mergeCell ref="M25:M26"/>
    <mergeCell ref="N25:N26"/>
    <mergeCell ref="AR23:AR24"/>
    <mergeCell ref="D25:D26"/>
    <mergeCell ref="E25:E26"/>
    <mergeCell ref="F25:F26"/>
    <mergeCell ref="G25:G26"/>
    <mergeCell ref="H25:H26"/>
    <mergeCell ref="P23:P24"/>
    <mergeCell ref="Q23:Q24"/>
    <mergeCell ref="R23:R24"/>
    <mergeCell ref="S23:S24"/>
    <mergeCell ref="T23:T24"/>
    <mergeCell ref="U23:U24"/>
    <mergeCell ref="J23:J24"/>
    <mergeCell ref="K23:K24"/>
    <mergeCell ref="L23:L24"/>
    <mergeCell ref="M23:M24"/>
    <mergeCell ref="N23:N24"/>
    <mergeCell ref="O23:O24"/>
    <mergeCell ref="D23:D24"/>
    <mergeCell ref="E23:E24"/>
    <mergeCell ref="AR25:AR26"/>
    <mergeCell ref="O25:O26"/>
    <mergeCell ref="P25:P26"/>
    <mergeCell ref="Q25:Q26"/>
    <mergeCell ref="F23:F24"/>
    <mergeCell ref="G23:G24"/>
    <mergeCell ref="H23:H24"/>
    <mergeCell ref="I23:I24"/>
    <mergeCell ref="U21:U22"/>
    <mergeCell ref="AM21:AM22"/>
    <mergeCell ref="AO21:AO22"/>
    <mergeCell ref="AP21:AP22"/>
    <mergeCell ref="AQ21:AQ22"/>
    <mergeCell ref="AM23:AM24"/>
    <mergeCell ref="AO23:AO24"/>
    <mergeCell ref="AP23:AP24"/>
    <mergeCell ref="AQ23:AQ24"/>
    <mergeCell ref="P21:P22"/>
    <mergeCell ref="Q21:Q22"/>
    <mergeCell ref="R21:R22"/>
    <mergeCell ref="S21:S22"/>
    <mergeCell ref="T21:T22"/>
    <mergeCell ref="I21:I22"/>
    <mergeCell ref="J21:J22"/>
    <mergeCell ref="K21:K22"/>
    <mergeCell ref="L21:L22"/>
    <mergeCell ref="M21:M22"/>
    <mergeCell ref="N21:N22"/>
    <mergeCell ref="D21:D22"/>
    <mergeCell ref="E21:E22"/>
    <mergeCell ref="F21:F22"/>
    <mergeCell ref="G21:G22"/>
    <mergeCell ref="H21:H22"/>
    <mergeCell ref="P19:P20"/>
    <mergeCell ref="Q19:Q20"/>
    <mergeCell ref="R19:R20"/>
    <mergeCell ref="S19:S20"/>
    <mergeCell ref="J19:J20"/>
    <mergeCell ref="K19:K20"/>
    <mergeCell ref="L19:L20"/>
    <mergeCell ref="M19:M20"/>
    <mergeCell ref="N19:N20"/>
    <mergeCell ref="O19:O20"/>
    <mergeCell ref="D19:D20"/>
    <mergeCell ref="E19:E20"/>
    <mergeCell ref="F19:F20"/>
    <mergeCell ref="O21:O22"/>
    <mergeCell ref="G19:G20"/>
    <mergeCell ref="H19:H20"/>
    <mergeCell ref="I19:I20"/>
    <mergeCell ref="U17:U18"/>
    <mergeCell ref="E17:E18"/>
    <mergeCell ref="F17:F18"/>
    <mergeCell ref="G17:G18"/>
    <mergeCell ref="H17:H18"/>
    <mergeCell ref="T19:T20"/>
    <mergeCell ref="U19:U20"/>
    <mergeCell ref="AZ15:AZ32"/>
    <mergeCell ref="AR17:AR18"/>
    <mergeCell ref="Q15:Q16"/>
    <mergeCell ref="R15:R16"/>
    <mergeCell ref="S15:S16"/>
    <mergeCell ref="T15:T16"/>
    <mergeCell ref="U15:U16"/>
    <mergeCell ref="AM15:AM16"/>
    <mergeCell ref="M15:M16"/>
    <mergeCell ref="N15:N16"/>
    <mergeCell ref="O15:O16"/>
    <mergeCell ref="P15:P16"/>
    <mergeCell ref="AO19:AO20"/>
    <mergeCell ref="AN19:AN20"/>
    <mergeCell ref="AO17:AO18"/>
    <mergeCell ref="M17:M18"/>
    <mergeCell ref="N17:N18"/>
    <mergeCell ref="O17:O18"/>
    <mergeCell ref="P17:P18"/>
    <mergeCell ref="AM19:AM20"/>
    <mergeCell ref="AP19:AP20"/>
    <mergeCell ref="AQ19:AQ20"/>
    <mergeCell ref="AR19:AR20"/>
    <mergeCell ref="AR21:AR22"/>
    <mergeCell ref="BD13:BD14"/>
    <mergeCell ref="D15:D16"/>
    <mergeCell ref="E15:E16"/>
    <mergeCell ref="F15:F16"/>
    <mergeCell ref="G15:G16"/>
    <mergeCell ref="H15:H16"/>
    <mergeCell ref="AV13:AV14"/>
    <mergeCell ref="AW13:AW14"/>
    <mergeCell ref="AX13:AX14"/>
    <mergeCell ref="AY13:AY14"/>
    <mergeCell ref="AZ13:AZ14"/>
    <mergeCell ref="BA13:BA14"/>
    <mergeCell ref="AP13:AP14"/>
    <mergeCell ref="AQ13:AQ14"/>
    <mergeCell ref="AR13:AR14"/>
    <mergeCell ref="AS13:AS14"/>
    <mergeCell ref="AT13:AT14"/>
    <mergeCell ref="AU13:AU14"/>
    <mergeCell ref="AJ13:AJ14"/>
    <mergeCell ref="AK13:AK14"/>
    <mergeCell ref="AO13:AO14"/>
    <mergeCell ref="X13:X14"/>
    <mergeCell ref="BC15:BC32"/>
    <mergeCell ref="D17:D18"/>
    <mergeCell ref="BB13:BB14"/>
    <mergeCell ref="BC13:BC14"/>
    <mergeCell ref="AL13:AL14"/>
    <mergeCell ref="AM13:AM14"/>
    <mergeCell ref="AN13:AN14"/>
    <mergeCell ref="Y13:Y14"/>
    <mergeCell ref="Z13:AE13"/>
    <mergeCell ref="AG13:AG14"/>
    <mergeCell ref="AH13:AH14"/>
    <mergeCell ref="AI13:AI14"/>
    <mergeCell ref="AF12:AF14"/>
    <mergeCell ref="AG12:AM12"/>
    <mergeCell ref="W13:W14"/>
    <mergeCell ref="K13:K14"/>
    <mergeCell ref="L13:L14"/>
    <mergeCell ref="M13:N13"/>
    <mergeCell ref="O13:O14"/>
    <mergeCell ref="P13:P14"/>
    <mergeCell ref="Q13:Q14"/>
    <mergeCell ref="A11:C11"/>
    <mergeCell ref="D11:AR11"/>
    <mergeCell ref="D13:D14"/>
    <mergeCell ref="E13:E14"/>
    <mergeCell ref="F13:F14"/>
    <mergeCell ref="G13:G14"/>
    <mergeCell ref="H13:H14"/>
    <mergeCell ref="I13:I14"/>
    <mergeCell ref="J13:J14"/>
    <mergeCell ref="R13:R14"/>
    <mergeCell ref="S13:S14"/>
    <mergeCell ref="T13:T14"/>
    <mergeCell ref="U13:U14"/>
    <mergeCell ref="V13:V14"/>
    <mergeCell ref="AS11:AY12"/>
    <mergeCell ref="AZ11:BB12"/>
    <mergeCell ref="BC11:BD12"/>
    <mergeCell ref="D12:O12"/>
    <mergeCell ref="P12:U12"/>
    <mergeCell ref="V12:AE12"/>
    <mergeCell ref="D2:H5"/>
    <mergeCell ref="I2:BC5"/>
    <mergeCell ref="D7:G7"/>
    <mergeCell ref="H7:BD7"/>
    <mergeCell ref="D8:G8"/>
    <mergeCell ref="H8:BD8"/>
    <mergeCell ref="D9:G9"/>
    <mergeCell ref="H9:BD9"/>
    <mergeCell ref="AO12:AR12"/>
  </mergeCells>
  <conditionalFormatting sqref="P15 AH15:AH32 P17 P19 P21 P23 P25 P27 P29 P31">
    <cfRule type="cellIs" dxfId="86" priority="15" operator="equal">
      <formula>"Muy Alta"</formula>
    </cfRule>
    <cfRule type="cellIs" dxfId="85" priority="16" operator="equal">
      <formula>"Alta"</formula>
    </cfRule>
    <cfRule type="cellIs" dxfId="84" priority="17" operator="equal">
      <formula>"Media"</formula>
    </cfRule>
    <cfRule type="cellIs" dxfId="83" priority="18" operator="equal">
      <formula>"Baja"</formula>
    </cfRule>
    <cfRule type="cellIs" dxfId="82" priority="19" operator="equal">
      <formula>"Muy Baja"</formula>
    </cfRule>
  </conditionalFormatting>
  <conditionalFormatting sqref="S15 AJ15:AJ32 S17 S19 S21 S23 S25 S27 S29 S31">
    <cfRule type="cellIs" dxfId="81" priority="10" operator="equal">
      <formula>"Catastrófico"</formula>
    </cfRule>
    <cfRule type="cellIs" dxfId="80" priority="11" operator="equal">
      <formula>"Mayor"</formula>
    </cfRule>
    <cfRule type="cellIs" dxfId="79" priority="12" operator="equal">
      <formula>"Moderado"</formula>
    </cfRule>
    <cfRule type="cellIs" dxfId="78" priority="13" operator="equal">
      <formula>"Menor"</formula>
    </cfRule>
    <cfRule type="cellIs" dxfId="77" priority="14" operator="equal">
      <formula>"Leve"</formula>
    </cfRule>
  </conditionalFormatting>
  <conditionalFormatting sqref="U15 AL15:AL32 U17 U19 U21 U23 U25 U27 U29 U31">
    <cfRule type="cellIs" dxfId="76" priority="6" operator="equal">
      <formula>"Extremo"</formula>
    </cfRule>
    <cfRule type="cellIs" dxfId="75" priority="7" operator="equal">
      <formula>"Alto"</formula>
    </cfRule>
    <cfRule type="cellIs" dxfId="74" priority="8" operator="equal">
      <formula>"Moderado"</formula>
    </cfRule>
    <cfRule type="cellIs" dxfId="73" priority="9" operator="equal">
      <formula>"Bajo"</formula>
    </cfRule>
  </conditionalFormatting>
  <conditionalFormatting sqref="AI35:AI37">
    <cfRule type="cellIs" dxfId="72" priority="2" operator="equal">
      <formula>#REF!</formula>
    </cfRule>
    <cfRule type="cellIs" dxfId="71" priority="3" operator="equal">
      <formula>#REF!</formula>
    </cfRule>
  </conditionalFormatting>
  <conditionalFormatting sqref="AI35:AJ37">
    <cfRule type="cellIs" dxfId="70" priority="1" stopIfTrue="1" operator="equal">
      <formula>#REF!</formula>
    </cfRule>
  </conditionalFormatting>
  <conditionalFormatting sqref="AJ35:AJ37">
    <cfRule type="cellIs" dxfId="69" priority="4" stopIfTrue="1" operator="equal">
      <formula>#REF!</formula>
    </cfRule>
    <cfRule type="cellIs" dxfId="68" priority="5" stopIfTrue="1" operator="equal">
      <formula>#REF!</formula>
    </cfRule>
  </conditionalFormatting>
  <dataValidations count="10">
    <dataValidation type="list" allowBlank="1" showInputMessage="1" showErrorMessage="1" sqref="K35" xr:uid="{C154196F-B9D6-4969-93E5-0E227CE0F645}">
      <formula1>$K$192:$K$201</formula1>
    </dataValidation>
    <dataValidation type="list" allowBlank="1" showInputMessage="1" showErrorMessage="1" sqref="K37 AI37:AJ37" xr:uid="{6586DBA5-C64F-42D3-9445-BE7589C44356}">
      <formula1>#REF!</formula1>
    </dataValidation>
    <dataValidation type="list" allowBlank="1" showInputMessage="1" showErrorMessage="1" sqref="Y37" xr:uid="{94B85CF1-DF6D-410B-966A-AFC4721721F8}">
      <formula1>$R$192:$R$193</formula1>
    </dataValidation>
    <dataValidation type="list" allowBlank="1" showInputMessage="1" showErrorMessage="1" sqref="O37" xr:uid="{A78F7D34-2C8A-4DDE-AA56-FB1711036898}">
      <formula1>$O$192:$O$196</formula1>
    </dataValidation>
    <dataValidation type="list" allowBlank="1" showInputMessage="1" showErrorMessage="1" sqref="L37:N37" xr:uid="{45E6CFE1-AF9C-49BB-A247-4660458F8FEF}">
      <formula1>$L$192:$L$196</formula1>
    </dataValidation>
    <dataValidation type="list" allowBlank="1" showInputMessage="1" showErrorMessage="1" sqref="AB37:AH37 Z37 AQ37:AR37 AY37:AZ37" xr:uid="{639611CB-F9B2-4F62-9E80-07154F0CA506}">
      <formula1>$AQ$192:$AQ$199</formula1>
    </dataValidation>
    <dataValidation type="list" allowBlank="1" showInputMessage="1" showErrorMessage="1" error="Recuerde que las acciones se generan bajo la medida de mitigar el riesgo" sqref="AY15:AY20" xr:uid="{2AEC4179-290B-4FA0-B165-7EAFF44A7097}">
      <formula1>$BH$36:$BH$39</formula1>
    </dataValidation>
    <dataValidation type="custom" allowBlank="1" showInputMessage="1" showErrorMessage="1" error="Recuerde que las acciones se generan bajo la medida de mitigar el riesgo" sqref="AP15 AP31 AP29 AP27 AP25 AP23 AP21 AP17 AP19" xr:uid="{4667D9DC-17E7-4C85-9C45-B9B5EACFF7AA}"/>
    <dataValidation type="list" allowBlank="1" showInputMessage="1" showErrorMessage="1" sqref="R15:R32" xr:uid="{27587FD8-5B04-460D-9B62-EFB8D46B3DC9}">
      <formula1>Criterios_Impacto</formula1>
    </dataValidation>
    <dataValidation allowBlank="1" showInputMessage="1" sqref="AR15:AR32" xr:uid="{C2524953-CC1C-4DEF-A1FB-094D9B2B3C09}"/>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4">
        <x14:dataValidation type="custom" allowBlank="1" showInputMessage="1" showErrorMessage="1" error="Recuerde que las acciones se generan bajo la medida de mitigar el riesgo" xr:uid="{871FEC84-C5DC-4C1C-B406-A240BBABC097}">
          <x14:formula1>
            <xm:f>IF(OR(AQ17='Opciones Tratamiento'!$B$2,AQ17='Opciones Tratamiento'!$B$3,AQ17='Opciones Tratamiento'!$B$4),ISBLANK(AQ17),ISTEXT(AQ17))</xm:f>
          </x14:formula1>
          <xm:sqref>AV17:AX32</xm:sqref>
        </x14:dataValidation>
        <x14:dataValidation type="custom" allowBlank="1" showInputMessage="1" showErrorMessage="1" error="Recuerde que las acciones se generan bajo la medida de mitigar el riesgo" xr:uid="{8390BB5D-1910-4F27-9931-C2E97FD1D4C0}">
          <x14:formula1>
            <xm:f>IF(OR(AP16='Opciones Tratamiento'!$B$2,AP16='Opciones Tratamiento'!$B$3,AP16='Opciones Tratamiento'!$B$4),ISBLANK(AP16),ISTEXT(AP16))</xm:f>
          </x14:formula1>
          <xm:sqref>AU18 AU16 AU15:AX15 AU32 AU30 AU28 AU26 AU24 AU22 AU20</xm:sqref>
        </x14:dataValidation>
        <x14:dataValidation type="list" allowBlank="1" showInputMessage="1" showErrorMessage="1" xr:uid="{619C02A0-B95C-4070-8973-A9F0DD397B8C}">
          <x14:formula1>
            <xm:f>'Opciones Tratamiento'!$B$9:$B$10</xm:f>
          </x14:formula1>
          <xm:sqref>BB21:BB32</xm:sqref>
        </x14:dataValidation>
        <x14:dataValidation type="list" allowBlank="1" showInputMessage="1" showErrorMessage="1" xr:uid="{FCA4FBB9-F609-4214-AB51-A6745A11ECF0}">
          <x14:formula1>
            <xm:f>'Opciones Tratamiento'!$B$13:$B$19</xm:f>
          </x14:formula1>
          <xm:sqref>L15 L17:L32</xm:sqref>
        </x14:dataValidation>
        <x14:dataValidation type="list" allowBlank="1" showInputMessage="1" showErrorMessage="1" xr:uid="{58F9F001-4D3D-423B-AE7D-A324DCFDA99B}">
          <x14:formula1>
            <xm:f>'Opciones Tratamiento'!$B$2:$B$5</xm:f>
          </x14:formula1>
          <xm:sqref>AM27 AM25 AM23 AM15 AM19 AM17 AM31 AM29 AM21</xm:sqref>
        </x14:dataValidation>
        <x14:dataValidation type="custom" allowBlank="1" showInputMessage="1" showErrorMessage="1" error="Recuerde que las acciones se generan bajo la medida de mitigar el riesgo" xr:uid="{B42ABC59-06B8-4CB9-8B4B-8DDAA9292130}">
          <x14:formula1>
            <xm:f>IF(OR(AM21='Opciones Tratamiento'!$B$2,AM21='Opciones Tratamiento'!$B$3,AM21='Opciones Tratamiento'!$B$4),ISBLANK(AM21),ISTEXT(AM21))</xm:f>
          </x14:formula1>
          <xm:sqref>AY21:AY32</xm:sqref>
        </x14:dataValidation>
        <x14:dataValidation type="list" allowBlank="1" showInputMessage="1" showErrorMessage="1" xr:uid="{0A556C10-779A-489F-B7CE-B90A0D5DDCCF}">
          <x14:formula1>
            <xm:f>Listas!$B$2:$B$7</xm:f>
          </x14:formula1>
          <xm:sqref>H15 H17:H32</xm:sqref>
        </x14:dataValidation>
        <x14:dataValidation type="list" allowBlank="1" showInputMessage="1" showErrorMessage="1" xr:uid="{7C1DCE60-6CB7-48EA-8CAE-B8DF2610D0F8}">
          <x14:formula1>
            <xm:f>Listas!$C$2:$C$6</xm:f>
          </x14:formula1>
          <xm:sqref>M17:M32 M15</xm:sqref>
        </x14:dataValidation>
        <x14:dataValidation type="list" allowBlank="1" showInputMessage="1" showErrorMessage="1" xr:uid="{F37FFC36-66DA-4A20-8489-D6DC862F56DA}">
          <x14:formula1>
            <xm:f>Listas!$D$2:$D$5</xm:f>
          </x14:formula1>
          <xm:sqref>N17:N32 N15</xm:sqref>
        </x14:dataValidation>
        <x14:dataValidation type="list" allowBlank="1" showInputMessage="1" showErrorMessage="1" xr:uid="{D9E11F34-3633-40B9-A822-838DA41E24CB}">
          <x14:formula1>
            <xm:f>Formulas!$B$3:$B$18</xm:f>
          </x14:formula1>
          <xm:sqref>E17:E32</xm:sqref>
        </x14:dataValidation>
        <x14:dataValidation type="list" allowBlank="1" showInputMessage="1" showErrorMessage="1" xr:uid="{12A505FE-C9A4-4F72-9680-035D7AFDE8A1}">
          <x14:formula1>
            <xm:f>Formulas!$E$3:$E$23</xm:f>
          </x14:formula1>
          <xm:sqref>G17:G32</xm:sqref>
        </x14:dataValidation>
        <x14:dataValidation type="custom" allowBlank="1" showInputMessage="1" showErrorMessage="1" error="Recuerde que las acciones se generan bajo la medida de mitigar el riesgo" xr:uid="{DA71930C-8333-4BD0-83D4-1638B8E4C82A}">
          <x14:formula1>
            <xm:f>IF(OR(AM16='Opciones Tratamiento'!$B$2,AM16='Opciones Tratamiento'!$B$3,AM16='Opciones Tratamiento'!$B$4),ISBLANK(AM16),ISTEXT(AM16))</xm:f>
          </x14:formula1>
          <xm:sqref>AS31 AS29 AS15 AS27 AS23 AS25 AS21 AS17 AS19</xm:sqref>
        </x14:dataValidation>
        <x14:dataValidation type="list" allowBlank="1" showInputMessage="1" showErrorMessage="1" xr:uid="{E004CADE-62FB-4DB2-AEDE-1A1211665C51}">
          <x14:formula1>
            <xm:f>'Tabla Valoración controles'!$D$4:$D$6</xm:f>
          </x14:formula1>
          <xm:sqref>Z15:Z32</xm:sqref>
        </x14:dataValidation>
        <x14:dataValidation type="list" allowBlank="1" showInputMessage="1" showErrorMessage="1" xr:uid="{C13016A0-4987-4D75-B5BD-10A2796B2783}">
          <x14:formula1>
            <xm:f>'Tabla Valoración controles'!$D$7:$D$8</xm:f>
          </x14:formula1>
          <xm:sqref>AA15:AA32</xm:sqref>
        </x14:dataValidation>
        <x14:dataValidation type="list" allowBlank="1" showInputMessage="1" showErrorMessage="1" xr:uid="{FCE94FDE-63A9-437A-AF12-D04487C38DE5}">
          <x14:formula1>
            <xm:f>'Tabla Valoración controles'!$D$9:$D$10</xm:f>
          </x14:formula1>
          <xm:sqref>AC15:AC32</xm:sqref>
        </x14:dataValidation>
        <x14:dataValidation type="list" allowBlank="1" showInputMessage="1" showErrorMessage="1" xr:uid="{0C590BAC-9919-4DAC-A6DD-D2F3CD7A3517}">
          <x14:formula1>
            <xm:f>'Tabla Valoración controles'!$D$11:$D$12</xm:f>
          </x14:formula1>
          <xm:sqref>AD15:AD32</xm:sqref>
        </x14:dataValidation>
        <x14:dataValidation type="list" allowBlank="1" showInputMessage="1" showErrorMessage="1" xr:uid="{2CD3CE4D-A992-44EA-837C-F46D9A56C5D7}">
          <x14:formula1>
            <xm:f>'Tabla Valoración controles'!$D$13:$D$14</xm:f>
          </x14:formula1>
          <xm:sqref>AE15:AE32</xm:sqref>
        </x14:dataValidation>
        <x14:dataValidation type="custom" allowBlank="1" showInputMessage="1" showErrorMessage="1" error="Recuerde que las acciones se generan bajo la medida de mitigar el riesgo" xr:uid="{26015B7F-4C8B-4172-94F2-FE8104444DDB}">
          <x14:formula1>
            <xm:f>IF(OR(#REF!='Opciones Tratamiento'!$B$2,#REF!='Opciones Tratamiento'!$B$3,#REF!='Opciones Tratamiento'!$B$4),ISBLANK(#REF!),ISTEXT(#REF!))</xm:f>
          </x14:formula1>
          <xm:sqref>BD15:BD32 BC15</xm:sqref>
        </x14:dataValidation>
        <x14:dataValidation type="custom" allowBlank="1" showInputMessage="1" showErrorMessage="1" error="Recuerde que las acciones se generan bajo la medida de mitigar el riesgo" xr:uid="{A7E0D8A3-28C6-426A-863B-3318BFE04BD2}">
          <x14:formula1>
            <xm:f>IF(OR(AQ21='Opciones Tratamiento'!$B$2,AQ21='Opciones Tratamiento'!$B$3,AQ21='Opciones Tratamiento'!$B$4),ISBLANK(AQ21),ISTEXT(AQ21))</xm:f>
          </x14:formula1>
          <xm:sqref>BA21:BA32</xm:sqref>
        </x14:dataValidation>
        <x14:dataValidation type="list" allowBlank="1" showInputMessage="1" showErrorMessage="1" xr:uid="{D65998F5-9DEE-4080-8144-B148C4FC2D0D}">
          <x14:formula1>
            <xm:f>Formulas!$B$3:$B$6</xm:f>
          </x14:formula1>
          <xm:sqref>E15:E16</xm:sqref>
        </x14:dataValidation>
        <x14:dataValidation type="list" allowBlank="1" showInputMessage="1" showErrorMessage="1" xr:uid="{6B1289E0-37CF-4358-BF39-A80E904BE433}">
          <x14:formula1>
            <xm:f>Formulas!$D$3:$D$6</xm:f>
          </x14:formula1>
          <xm:sqref>F15:F32</xm:sqref>
        </x14:dataValidation>
        <x14:dataValidation type="list" allowBlank="1" showInputMessage="1" showErrorMessage="1" xr:uid="{A72E8572-E332-4BC8-87C6-0E0D58B154CB}">
          <x14:formula1>
            <xm:f>Formulas!$E$3:$E$5</xm:f>
          </x14:formula1>
          <xm:sqref>G15:G16</xm:sqref>
        </x14:dataValidation>
        <x14:dataValidation type="custom" allowBlank="1" showInputMessage="1" showErrorMessage="1" error="Recuerde que las acciones se generan bajo la medida de mitigar el riesgo" xr:uid="{4DE30096-7E02-4E01-AF46-1301BD4485C5}">
          <x14:formula1>
            <xm:f>IF(OR(AM16='Opciones Tratamiento'!$B$2,AM16='Opciones Tratamiento'!$B$3,AM16='Opciones Tratamiento'!$B$4),ISBLANK(AM16),ISTEXT(AM16))</xm:f>
          </x14:formula1>
          <xm:sqref>AQ31 AQ29 AQ27 AQ25 AQ23 AQ19 AQ21 AU21 AQ15 AU19 AU17 AU31 AU29 AU27 AU25 AU23 AQ17</xm:sqref>
        </x14:dataValidation>
        <x14:dataValidation type="list" allowBlank="1" showInputMessage="1" showErrorMessage="1" error="Recuerde que las acciones se generan bajo la medida de mitigar el riesgo" xr:uid="{C74A1463-2186-4312-B136-77FCE2E3A290}">
          <x14:formula1>
            <xm:f>Formulas!$H$3:$H$4</xm:f>
          </x14:formula1>
          <xm:sqref>AT15 AT17:AT32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871D5-C3E7-4662-A444-10303E39323C}">
  <dimension ref="A1:CD39"/>
  <sheetViews>
    <sheetView topLeftCell="V13" zoomScale="82" zoomScaleNormal="82" workbookViewId="0">
      <selection activeCell="W17" sqref="W17"/>
    </sheetView>
  </sheetViews>
  <sheetFormatPr defaultColWidth="11.42578125" defaultRowHeight="14.25"/>
  <cols>
    <col min="1" max="1" width="4.7109375" style="169" customWidth="1"/>
    <col min="2" max="2" width="4.42578125" style="169" customWidth="1"/>
    <col min="3" max="3" width="6.28515625" style="169" customWidth="1"/>
    <col min="4" max="4" width="4.7109375" style="170" customWidth="1"/>
    <col min="5" max="5" width="21" style="170" customWidth="1"/>
    <col min="6" max="7" width="20.7109375" style="170" customWidth="1"/>
    <col min="8" max="8" width="18.28515625" style="170" customWidth="1"/>
    <col min="9" max="9" width="49" style="170" customWidth="1"/>
    <col min="10" max="10" width="53.7109375" style="170" customWidth="1"/>
    <col min="11" max="11" width="58.28515625" style="169" customWidth="1"/>
    <col min="12" max="12" width="25.42578125" style="171" customWidth="1"/>
    <col min="13" max="13" width="31.85546875" style="171" customWidth="1"/>
    <col min="14" max="14" width="23.85546875" style="171" customWidth="1"/>
    <col min="15" max="15" width="19.5703125" style="169" customWidth="1"/>
    <col min="16" max="16" width="16.42578125" style="169" customWidth="1"/>
    <col min="17" max="17" width="8.85546875" style="169" customWidth="1"/>
    <col min="18" max="18" width="57.28515625" style="169" customWidth="1"/>
    <col min="19" max="19" width="17.42578125" style="169" customWidth="1"/>
    <col min="20" max="20" width="10.42578125" style="169" customWidth="1"/>
    <col min="21" max="21" width="16" style="169" customWidth="1"/>
    <col min="22" max="22" width="5.7109375" style="169" customWidth="1"/>
    <col min="23" max="23" width="91.42578125" style="169" customWidth="1"/>
    <col min="24" max="24" width="57.28515625" style="169" customWidth="1"/>
    <col min="25" max="25" width="15.28515625" style="169" customWidth="1"/>
    <col min="26" max="26" width="6.7109375" style="169" customWidth="1"/>
    <col min="27" max="27" width="5" style="169" customWidth="1"/>
    <col min="28" max="28" width="5.42578125" style="169" customWidth="1"/>
    <col min="29" max="29" width="7.28515625" style="169" customWidth="1"/>
    <col min="30" max="30" width="6.7109375" style="169" customWidth="1"/>
    <col min="31" max="31" width="8.28515625" style="169" customWidth="1"/>
    <col min="32" max="32" width="27" style="169" customWidth="1"/>
    <col min="33" max="33" width="13.7109375" style="169" customWidth="1"/>
    <col min="34" max="38" width="16.140625" style="169" customWidth="1"/>
    <col min="39" max="40" width="7.28515625" style="169" customWidth="1"/>
    <col min="41" max="41" width="46.42578125" style="169" customWidth="1"/>
    <col min="42" max="42" width="24.28515625" style="169" customWidth="1"/>
    <col min="43" max="44" width="23.140625" style="169" customWidth="1"/>
    <col min="45" max="46" width="19.7109375" style="169" customWidth="1"/>
    <col min="47" max="47" width="35.42578125" style="169" customWidth="1"/>
    <col min="48" max="50" width="34.7109375" style="169" customWidth="1"/>
    <col min="51" max="51" width="29" style="169" customWidth="1"/>
    <col min="52" max="52" width="23.28515625" style="169" customWidth="1"/>
    <col min="53" max="53" width="68.42578125" style="169" customWidth="1"/>
    <col min="54" max="54" width="31.42578125" style="169" customWidth="1"/>
    <col min="55" max="55" width="30.42578125" style="169" customWidth="1"/>
    <col min="56" max="56" width="53" style="169" customWidth="1"/>
    <col min="57" max="59" width="0" style="169" hidden="1" customWidth="1"/>
    <col min="60" max="61" width="11.42578125" style="169" hidden="1" customWidth="1"/>
    <col min="62" max="63" width="0" style="169" hidden="1" customWidth="1"/>
    <col min="64" max="16384" width="11.42578125" style="169"/>
  </cols>
  <sheetData>
    <row r="1" spans="1:82" ht="15" thickBot="1"/>
    <row r="2" spans="1:82" ht="27.75" customHeight="1">
      <c r="D2" s="281" t="s">
        <v>7</v>
      </c>
      <c r="E2" s="282"/>
      <c r="F2" s="282"/>
      <c r="G2" s="282"/>
      <c r="H2" s="283"/>
      <c r="I2" s="290" t="s">
        <v>8</v>
      </c>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13" t="s">
        <v>9</v>
      </c>
    </row>
    <row r="3" spans="1:82" ht="27.75" customHeight="1">
      <c r="D3" s="284"/>
      <c r="E3" s="285"/>
      <c r="F3" s="285"/>
      <c r="G3" s="285"/>
      <c r="H3" s="286"/>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20" t="s">
        <v>10</v>
      </c>
    </row>
    <row r="4" spans="1:82" ht="27.75" customHeight="1">
      <c r="D4" s="284"/>
      <c r="E4" s="285"/>
      <c r="F4" s="285"/>
      <c r="G4" s="285"/>
      <c r="H4" s="286"/>
      <c r="I4" s="290"/>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14" t="s">
        <v>4</v>
      </c>
    </row>
    <row r="5" spans="1:82" ht="27.75" customHeight="1" thickBot="1">
      <c r="D5" s="287"/>
      <c r="E5" s="288"/>
      <c r="F5" s="288"/>
      <c r="G5" s="288"/>
      <c r="H5" s="289"/>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14" t="s">
        <v>11</v>
      </c>
    </row>
    <row r="6" spans="1:82" ht="14.1" customHeight="1">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15"/>
    </row>
    <row r="7" spans="1:82" ht="26.25" customHeight="1">
      <c r="D7" s="291" t="s">
        <v>12</v>
      </c>
      <c r="E7" s="292"/>
      <c r="F7" s="292"/>
      <c r="G7" s="293"/>
      <c r="H7" s="294" t="s">
        <v>88</v>
      </c>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48.75" customHeight="1">
      <c r="D8" s="291" t="s">
        <v>13</v>
      </c>
      <c r="E8" s="292"/>
      <c r="F8" s="292"/>
      <c r="G8" s="293"/>
      <c r="H8" s="296" t="s">
        <v>89</v>
      </c>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48.75" customHeight="1">
      <c r="D9" s="291" t="s">
        <v>14</v>
      </c>
      <c r="E9" s="292"/>
      <c r="F9" s="292"/>
      <c r="G9" s="293"/>
      <c r="H9" s="296" t="s">
        <v>90</v>
      </c>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16"/>
      <c r="AT10" s="216"/>
      <c r="AU10" s="216"/>
      <c r="AV10" s="216"/>
      <c r="AW10" s="216"/>
      <c r="AX10" s="216"/>
      <c r="AY10" s="216"/>
      <c r="AZ10" s="179"/>
      <c r="BA10" s="179"/>
      <c r="BB10" s="179"/>
      <c r="BC10" s="179"/>
      <c r="BD10" s="179"/>
    </row>
    <row r="11" spans="1:82" s="174" customFormat="1" ht="25.5" customHeight="1">
      <c r="A11" s="269" t="s">
        <v>15</v>
      </c>
      <c r="B11" s="269"/>
      <c r="C11" s="270"/>
      <c r="D11" s="271" t="s">
        <v>16</v>
      </c>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3" t="s">
        <v>16</v>
      </c>
      <c r="AT11" s="273"/>
      <c r="AU11" s="273"/>
      <c r="AV11" s="273"/>
      <c r="AW11" s="273"/>
      <c r="AX11" s="273"/>
      <c r="AY11" s="273"/>
      <c r="AZ11" s="274" t="s">
        <v>18</v>
      </c>
      <c r="BA11" s="273"/>
      <c r="BB11" s="273"/>
      <c r="BC11" s="275" t="s">
        <v>19</v>
      </c>
      <c r="BD11" s="276"/>
    </row>
    <row r="12" spans="1:82" ht="27" customHeight="1">
      <c r="D12" s="279" t="s">
        <v>20</v>
      </c>
      <c r="E12" s="279"/>
      <c r="F12" s="279"/>
      <c r="G12" s="279"/>
      <c r="H12" s="279"/>
      <c r="I12" s="280"/>
      <c r="J12" s="280"/>
      <c r="K12" s="280"/>
      <c r="L12" s="280"/>
      <c r="M12" s="280"/>
      <c r="N12" s="280"/>
      <c r="O12" s="280"/>
      <c r="P12" s="280" t="s">
        <v>21</v>
      </c>
      <c r="Q12" s="280"/>
      <c r="R12" s="280"/>
      <c r="S12" s="280"/>
      <c r="T12" s="280"/>
      <c r="U12" s="280"/>
      <c r="V12" s="280" t="s">
        <v>22</v>
      </c>
      <c r="W12" s="280"/>
      <c r="X12" s="280"/>
      <c r="Y12" s="280"/>
      <c r="Z12" s="280"/>
      <c r="AA12" s="280"/>
      <c r="AB12" s="280"/>
      <c r="AC12" s="280"/>
      <c r="AD12" s="280"/>
      <c r="AE12" s="280"/>
      <c r="AF12" s="310" t="s">
        <v>23</v>
      </c>
      <c r="AG12" s="280" t="s">
        <v>24</v>
      </c>
      <c r="AH12" s="280"/>
      <c r="AI12" s="280"/>
      <c r="AJ12" s="280"/>
      <c r="AK12" s="280"/>
      <c r="AL12" s="280"/>
      <c r="AM12" s="280"/>
      <c r="AN12" s="218"/>
      <c r="AO12" s="271" t="s">
        <v>25</v>
      </c>
      <c r="AP12" s="272"/>
      <c r="AQ12" s="272"/>
      <c r="AR12" s="272"/>
      <c r="AS12" s="273"/>
      <c r="AT12" s="273"/>
      <c r="AU12" s="273"/>
      <c r="AV12" s="273"/>
      <c r="AW12" s="273"/>
      <c r="AX12" s="273"/>
      <c r="AY12" s="273"/>
      <c r="AZ12" s="274"/>
      <c r="BA12" s="273"/>
      <c r="BB12" s="273"/>
      <c r="BC12" s="277"/>
      <c r="BD12" s="278"/>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45.75" customHeight="1">
      <c r="D13" s="297" t="s">
        <v>26</v>
      </c>
      <c r="E13" s="298" t="s">
        <v>27</v>
      </c>
      <c r="F13" s="299" t="s">
        <v>28</v>
      </c>
      <c r="G13" s="300" t="s">
        <v>29</v>
      </c>
      <c r="H13" s="279" t="s">
        <v>30</v>
      </c>
      <c r="I13" s="298" t="s">
        <v>31</v>
      </c>
      <c r="J13" s="298" t="s">
        <v>32</v>
      </c>
      <c r="K13" s="298" t="s">
        <v>33</v>
      </c>
      <c r="L13" s="300" t="s">
        <v>34</v>
      </c>
      <c r="M13" s="304" t="s">
        <v>35</v>
      </c>
      <c r="N13" s="305"/>
      <c r="O13" s="298" t="s">
        <v>36</v>
      </c>
      <c r="P13" s="298" t="s">
        <v>37</v>
      </c>
      <c r="Q13" s="279" t="s">
        <v>38</v>
      </c>
      <c r="R13" s="298" t="s">
        <v>39</v>
      </c>
      <c r="S13" s="298" t="s">
        <v>40</v>
      </c>
      <c r="T13" s="279" t="s">
        <v>38</v>
      </c>
      <c r="U13" s="298" t="s">
        <v>41</v>
      </c>
      <c r="V13" s="303" t="s">
        <v>42</v>
      </c>
      <c r="W13" s="298" t="s">
        <v>43</v>
      </c>
      <c r="X13" s="298" t="s">
        <v>44</v>
      </c>
      <c r="Y13" s="298" t="s">
        <v>45</v>
      </c>
      <c r="Z13" s="298" t="s">
        <v>46</v>
      </c>
      <c r="AA13" s="298"/>
      <c r="AB13" s="298"/>
      <c r="AC13" s="298"/>
      <c r="AD13" s="298"/>
      <c r="AE13" s="298"/>
      <c r="AF13" s="311"/>
      <c r="AG13" s="303" t="s">
        <v>47</v>
      </c>
      <c r="AH13" s="303" t="s">
        <v>48</v>
      </c>
      <c r="AI13" s="303" t="s">
        <v>38</v>
      </c>
      <c r="AJ13" s="303" t="s">
        <v>49</v>
      </c>
      <c r="AK13" s="303" t="s">
        <v>38</v>
      </c>
      <c r="AL13" s="303" t="s">
        <v>50</v>
      </c>
      <c r="AM13" s="303" t="s">
        <v>51</v>
      </c>
      <c r="AN13" s="303" t="s">
        <v>52</v>
      </c>
      <c r="AO13" s="298" t="s">
        <v>53</v>
      </c>
      <c r="AP13" s="298" t="s">
        <v>54</v>
      </c>
      <c r="AQ13" s="298" t="s">
        <v>55</v>
      </c>
      <c r="AR13" s="300" t="s">
        <v>56</v>
      </c>
      <c r="AS13" s="306" t="s">
        <v>91</v>
      </c>
      <c r="AT13" s="308" t="s">
        <v>58</v>
      </c>
      <c r="AU13" s="308" t="s">
        <v>59</v>
      </c>
      <c r="AV13" s="308" t="s">
        <v>60</v>
      </c>
      <c r="AW13" s="308" t="s">
        <v>61</v>
      </c>
      <c r="AX13" s="308" t="s">
        <v>62</v>
      </c>
      <c r="AY13" s="308" t="s">
        <v>63</v>
      </c>
      <c r="AZ13" s="298" t="s">
        <v>64</v>
      </c>
      <c r="BA13" s="298" t="s">
        <v>65</v>
      </c>
      <c r="BB13" s="298" t="s">
        <v>66</v>
      </c>
      <c r="BC13" s="319" t="s">
        <v>64</v>
      </c>
      <c r="BD13" s="319" t="s">
        <v>67</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106.5" customHeight="1">
      <c r="A14" s="180"/>
      <c r="B14" s="180"/>
      <c r="C14" s="180"/>
      <c r="D14" s="297"/>
      <c r="E14" s="298"/>
      <c r="F14" s="280"/>
      <c r="G14" s="301"/>
      <c r="H14" s="279"/>
      <c r="I14" s="298"/>
      <c r="J14" s="298"/>
      <c r="K14" s="279"/>
      <c r="L14" s="301"/>
      <c r="M14" s="191" t="s">
        <v>68</v>
      </c>
      <c r="N14" s="191" t="s">
        <v>69</v>
      </c>
      <c r="O14" s="298"/>
      <c r="P14" s="298"/>
      <c r="Q14" s="279"/>
      <c r="R14" s="298"/>
      <c r="S14" s="279"/>
      <c r="T14" s="279"/>
      <c r="U14" s="298"/>
      <c r="V14" s="303"/>
      <c r="W14" s="298"/>
      <c r="X14" s="298"/>
      <c r="Y14" s="298"/>
      <c r="Z14" s="207" t="s">
        <v>70</v>
      </c>
      <c r="AA14" s="207" t="s">
        <v>71</v>
      </c>
      <c r="AB14" s="207" t="s">
        <v>72</v>
      </c>
      <c r="AC14" s="207" t="s">
        <v>23</v>
      </c>
      <c r="AD14" s="207" t="s">
        <v>73</v>
      </c>
      <c r="AE14" s="207" t="s">
        <v>74</v>
      </c>
      <c r="AF14" s="312"/>
      <c r="AG14" s="303"/>
      <c r="AH14" s="303"/>
      <c r="AI14" s="303"/>
      <c r="AJ14" s="303"/>
      <c r="AK14" s="303"/>
      <c r="AL14" s="303"/>
      <c r="AM14" s="303"/>
      <c r="AN14" s="303"/>
      <c r="AO14" s="298"/>
      <c r="AP14" s="298"/>
      <c r="AQ14" s="298"/>
      <c r="AR14" s="301"/>
      <c r="AS14" s="307"/>
      <c r="AT14" s="309"/>
      <c r="AU14" s="309"/>
      <c r="AV14" s="309"/>
      <c r="AW14" s="309"/>
      <c r="AX14" s="309"/>
      <c r="AY14" s="309"/>
      <c r="AZ14" s="300"/>
      <c r="BA14" s="300"/>
      <c r="BB14" s="300"/>
      <c r="BC14" s="309"/>
      <c r="BD14" s="309"/>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223" customFormat="1" ht="148.5" customHeight="1">
      <c r="D15" s="320">
        <v>1</v>
      </c>
      <c r="E15" s="322" t="s">
        <v>92</v>
      </c>
      <c r="F15" s="322" t="s">
        <v>93</v>
      </c>
      <c r="G15" s="324"/>
      <c r="H15" s="322" t="s">
        <v>94</v>
      </c>
      <c r="I15" s="326" t="s">
        <v>175</v>
      </c>
      <c r="J15" s="326" t="s">
        <v>176</v>
      </c>
      <c r="K15" s="326" t="s">
        <v>177</v>
      </c>
      <c r="L15" s="313" t="s">
        <v>98</v>
      </c>
      <c r="M15" s="315" t="s">
        <v>99</v>
      </c>
      <c r="N15" s="315" t="s">
        <v>100</v>
      </c>
      <c r="O15" s="313">
        <v>25</v>
      </c>
      <c r="P15" s="317" t="str">
        <f>IF(O15&lt;=0,"",IF(O15&lt;=2,"Muy Baja",IF(O15&lt;=24,"Baja",IF(O15&lt;=500,"Media",IF(O15&lt;=5000,"Alta","Muy Alta")))))</f>
        <v>Media</v>
      </c>
      <c r="Q15" s="338">
        <f>IF(P15="","",IF(P15="Muy Baja",0.2,IF(P15="Baja",0.4,IF(P15="Media",0.6,IF(P15="Alta",0.8,IF(P15="Muy Alta",1,))))))</f>
        <v>0.6</v>
      </c>
      <c r="R15" s="340" t="s">
        <v>178</v>
      </c>
      <c r="S15" s="317" t="str">
        <f>IFERROR(VLOOKUP(R15,Criterios[],2,FALSE),"")</f>
        <v>Mayor</v>
      </c>
      <c r="T15" s="338">
        <f t="shared" ref="T15" si="0">IF(S15="","",IF(S15="Leve",0.2,IF(S15="Menor",0.4,IF(S15="Moderado",0.6,IF(S15="Mayor",0.8,IF(S15="Catastrófico",1,))))))</f>
        <v>0.8</v>
      </c>
      <c r="U15" s="317"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Alto</v>
      </c>
      <c r="V15" s="224">
        <v>1</v>
      </c>
      <c r="W15" s="266" t="s">
        <v>179</v>
      </c>
      <c r="X15" s="226" t="s">
        <v>180</v>
      </c>
      <c r="Y15" s="227" t="str">
        <f t="shared" ref="Y15:Y32" si="1">IF(OR(Z15="Preventivo",Z15="Detectivo"),"Probabilidad",IF(Z15="Correctivo","Impacto",""))</f>
        <v>Probabilidad</v>
      </c>
      <c r="Z15" s="228" t="s">
        <v>104</v>
      </c>
      <c r="AA15" s="228" t="s">
        <v>105</v>
      </c>
      <c r="AB15" s="229" t="str">
        <f t="shared" ref="AB15:AB32" si="2">IF(AND(Z15="Preventivo",AA15="Automático"),"50%",IF(AND(Z15="Preventivo",AA15="Manual"),"40%",IF(AND(Z15="Detectivo",AA15="Automático"),"40%",IF(AND(Z15="Detectivo",AA15="Manual"),"30%",IF(AND(Z15="Correctivo",AA15="Automático"),"35%",IF(AND(Z15="Correctivo",AA15="Manual"),"25%",""))))))</f>
        <v>40%</v>
      </c>
      <c r="AC15" s="228" t="s">
        <v>106</v>
      </c>
      <c r="AD15" s="228" t="s">
        <v>107</v>
      </c>
      <c r="AE15" s="228" t="s">
        <v>108</v>
      </c>
      <c r="AF15" s="230" t="s">
        <v>181</v>
      </c>
      <c r="AG15" s="231">
        <f>IFERROR(IF(Y15="Probabilidad",(Q15-(+ Q15*AB15)),IF(Y15="Impacto",Q15,"")),"")</f>
        <v>0.36</v>
      </c>
      <c r="AH15" s="232" t="str">
        <f>IFERROR(IF(AG15="","",IF(AG15&lt;=0.2,"Muy Baja",IF(AG15&lt;=0.4,"Baja",IF(AG15&lt;=0.6,"Media",IF(AG15&lt;=0.8,"Alta","Muy Alta"))))),"")</f>
        <v>Baja</v>
      </c>
      <c r="AI15" s="229">
        <f>+AG15</f>
        <v>0.36</v>
      </c>
      <c r="AJ15" s="232" t="str">
        <f>IFERROR(IF(AK15="","",IF(AK15&lt;=0.2,"Leve",IF(AK15&lt;=0.4,"Menor",IF(AK15&lt;=0.6,"Moderado",IF(AK15&lt;=0.8,"Mayor","Catastrófico"))))),"")</f>
        <v>Mayor</v>
      </c>
      <c r="AK15" s="229">
        <f>IFERROR(IF(Y15="Impacto",(T15-(+T15*AB15)),IF(Y15="Probabilidad",T15,"")),"")</f>
        <v>0.8</v>
      </c>
      <c r="AL15" s="232"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Alto</v>
      </c>
      <c r="AM15" s="342" t="s">
        <v>75</v>
      </c>
      <c r="AN15" s="322">
        <v>1</v>
      </c>
      <c r="AO15" s="326" t="s">
        <v>182</v>
      </c>
      <c r="AP15" s="331" t="s">
        <v>183</v>
      </c>
      <c r="AQ15" s="333" t="s">
        <v>184</v>
      </c>
      <c r="AR15" s="333" t="s">
        <v>185</v>
      </c>
      <c r="AS15" s="333">
        <v>46268</v>
      </c>
      <c r="AT15" s="385"/>
      <c r="AU15" s="233"/>
      <c r="AV15" s="233"/>
      <c r="AW15" s="233"/>
      <c r="AX15" s="233"/>
      <c r="AY15" s="233"/>
      <c r="AZ15" s="335"/>
      <c r="BA15" s="234"/>
      <c r="BB15" s="235"/>
      <c r="BC15" s="328"/>
      <c r="BD15" s="236"/>
      <c r="BE15" s="237"/>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row>
    <row r="16" spans="1:82" s="223" customFormat="1" ht="101.25" customHeight="1">
      <c r="D16" s="321"/>
      <c r="E16" s="323"/>
      <c r="F16" s="323"/>
      <c r="G16" s="325"/>
      <c r="H16" s="323"/>
      <c r="I16" s="327"/>
      <c r="J16" s="327"/>
      <c r="K16" s="327"/>
      <c r="L16" s="314"/>
      <c r="M16" s="316"/>
      <c r="N16" s="316"/>
      <c r="O16" s="314"/>
      <c r="P16" s="318"/>
      <c r="Q16" s="339"/>
      <c r="R16" s="341"/>
      <c r="S16" s="318"/>
      <c r="T16" s="339"/>
      <c r="U16" s="318"/>
      <c r="V16" s="239">
        <v>2</v>
      </c>
      <c r="W16" s="225"/>
      <c r="X16" s="226"/>
      <c r="Y16" s="227" t="str">
        <f t="shared" si="1"/>
        <v/>
      </c>
      <c r="Z16" s="228"/>
      <c r="AA16" s="228"/>
      <c r="AB16" s="229" t="str">
        <f t="shared" si="2"/>
        <v/>
      </c>
      <c r="AC16" s="228"/>
      <c r="AD16" s="228"/>
      <c r="AE16" s="228"/>
      <c r="AF16" s="230"/>
      <c r="AG16" s="231" t="str">
        <f t="shared" ref="AG16:AG32" si="3">IFERROR(IF(Y16="Probabilidad",(Q16-(+ Q16*AB16)),IF(Y16="Impacto",Q16,"")),"")</f>
        <v/>
      </c>
      <c r="AH16" s="232" t="str">
        <f t="shared" ref="AH16:AH32" si="4">IFERROR(IF(AG16="","",IF(AG16&lt;=0.2,"Muy Baja",IF(AG16&lt;=0.4,"Baja",IF(AG16&lt;=0.6,"Media",IF(AG16&lt;=0.8,"Alta","Muy Alta"))))),"")</f>
        <v/>
      </c>
      <c r="AI16" s="229" t="str">
        <f t="shared" ref="AI16:AI31" si="5">+AG16</f>
        <v/>
      </c>
      <c r="AJ16" s="232" t="str">
        <f t="shared" ref="AJ16:AJ32" si="6">IFERROR(IF(AK16="","",IF(AK16&lt;=0.2,"Leve",IF(AK16&lt;=0.4,"Menor",IF(AK16&lt;=0.6,"Moderado",IF(AK16&lt;=0.8,"Mayor","Catastrófico"))))),"")</f>
        <v/>
      </c>
      <c r="AK16" s="229" t="str">
        <f>IFERROR(IF(Y16="Impacto",(T16-(+T16*AB16)),IF(Y16="Probabilidad",T15,"")),"")</f>
        <v/>
      </c>
      <c r="AL16" s="232" t="str">
        <f t="shared" ref="AL16:AL32" si="7">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
      </c>
      <c r="AM16" s="343"/>
      <c r="AN16" s="323"/>
      <c r="AO16" s="327"/>
      <c r="AP16" s="332"/>
      <c r="AQ16" s="334"/>
      <c r="AR16" s="334"/>
      <c r="AS16" s="334"/>
      <c r="AT16" s="386"/>
      <c r="AU16" s="233"/>
      <c r="AV16" s="233"/>
      <c r="AW16" s="233"/>
      <c r="AX16" s="233"/>
      <c r="AY16" s="233"/>
      <c r="AZ16" s="336"/>
      <c r="BA16" s="234"/>
      <c r="BB16" s="240"/>
      <c r="BC16" s="329"/>
      <c r="BD16" s="236"/>
      <c r="BE16" s="241"/>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row>
    <row r="17" spans="4:82" s="223" customFormat="1" ht="163.5" customHeight="1">
      <c r="D17" s="320">
        <v>2</v>
      </c>
      <c r="E17" s="322" t="s">
        <v>92</v>
      </c>
      <c r="F17" s="322" t="s">
        <v>93</v>
      </c>
      <c r="G17" s="324"/>
      <c r="H17" s="322" t="s">
        <v>94</v>
      </c>
      <c r="I17" s="326" t="s">
        <v>186</v>
      </c>
      <c r="J17" s="326" t="s">
        <v>187</v>
      </c>
      <c r="K17" s="326" t="s">
        <v>188</v>
      </c>
      <c r="L17" s="313" t="s">
        <v>98</v>
      </c>
      <c r="M17" s="315" t="s">
        <v>99</v>
      </c>
      <c r="N17" s="315" t="s">
        <v>100</v>
      </c>
      <c r="O17" s="313">
        <v>13</v>
      </c>
      <c r="P17" s="317" t="str">
        <f>IF(O17&lt;=0,"",IF(O17&lt;=2,"Muy Baja",IF(O17&lt;=24,"Baja",IF(O17&lt;=500,"Media",IF(O17&lt;=5000,"Alta","Muy Alta")))))</f>
        <v>Baja</v>
      </c>
      <c r="Q17" s="338">
        <f t="shared" ref="Q17" si="8">IF(P17="","",IF(P17="Muy Baja",0.2,IF(P17="Baja",0.4,IF(P17="Media",0.6,IF(P17="Alta",0.8,IF(P17="Muy Alta",1,))))))</f>
        <v>0.4</v>
      </c>
      <c r="R17" s="340" t="s">
        <v>178</v>
      </c>
      <c r="S17" s="317" t="str">
        <f>IFERROR(VLOOKUP(R17,Criterios[],2,FALSE),"")</f>
        <v>Mayor</v>
      </c>
      <c r="T17" s="338">
        <f t="shared" ref="T17" si="9">IF(S17="","",IF(S17="Leve",0.2,IF(S17="Menor",0.4,IF(S17="Moderado",0.6,IF(S17="Mayor",0.8,IF(S17="Catastrófico",1,))))))</f>
        <v>0.8</v>
      </c>
      <c r="U17" s="317" t="str">
        <f>IF(OR(AND(P17="Muy Baja",S17="Leve"),AND(P17="Muy Baja",S17="Menor"),AND(P17="Baja",S17="Leve")),"Bajo",IF(OR(AND(P17="Muy baja",S17="Moderado"),AND(P17="Baja",S17="Menor"),AND(P17="Baja",S17="Moderado"),AND(P17="Media",S17="Leve"),AND(P17="Media",S17="Menor"),AND(P17="Media",S17="Moderado"),AND(P17="Alta",S17="Leve"),AND(P17="Alta",S17="Menor")),"Moderado",IF(OR(AND(P17="Muy Baja",S17="Mayor"),AND(P17="Baja",S17="Mayor"),AND(P17="Media",S17="Mayor"),AND(P17="Alta",S17="Moderado"),AND(P17="Alta",S17="Mayor"),AND(P17="Muy Alta",S17="Leve"),AND(P17="Muy Alta",S17="Menor"),AND(P17="Muy Alta",S17="Moderado"),AND(P17="Muy Alta",S17="Mayor")),"Alto",IF(OR(AND(P17="Muy Baja",S17="Catastrófico"),AND(P17="Baja",S17="Catastrófico"),AND(P17="Media",S17="Catastrófico"),AND(P17="Alta",S17="Catastrófico"),AND(P17="Muy Alta",S17="Catastrófico")),"Extremo",""))))</f>
        <v>Alto</v>
      </c>
      <c r="V17" s="224">
        <v>1</v>
      </c>
      <c r="W17" s="267" t="s">
        <v>189</v>
      </c>
      <c r="X17" s="226" t="s">
        <v>190</v>
      </c>
      <c r="Y17" s="227" t="str">
        <f t="shared" si="1"/>
        <v>Probabilidad</v>
      </c>
      <c r="Z17" s="228" t="s">
        <v>104</v>
      </c>
      <c r="AA17" s="228" t="s">
        <v>105</v>
      </c>
      <c r="AB17" s="229" t="str">
        <f t="shared" si="2"/>
        <v>40%</v>
      </c>
      <c r="AC17" s="228" t="s">
        <v>106</v>
      </c>
      <c r="AD17" s="228" t="s">
        <v>107</v>
      </c>
      <c r="AE17" s="228" t="s">
        <v>108</v>
      </c>
      <c r="AF17" s="230" t="s">
        <v>191</v>
      </c>
      <c r="AG17" s="231">
        <f t="shared" si="3"/>
        <v>0.24</v>
      </c>
      <c r="AH17" s="232" t="str">
        <f t="shared" si="4"/>
        <v>Baja</v>
      </c>
      <c r="AI17" s="229">
        <f t="shared" si="5"/>
        <v>0.24</v>
      </c>
      <c r="AJ17" s="232" t="str">
        <f>IFERROR(IF(AK17="","",IF(AK17&lt;=0.2,"Leve",IF(AK17&lt;=0.4,"Menor",IF(AK17&lt;=0.6,"Moderado",IF(AK17&lt;=0.8,"Mayor","Catastrófico"))))),"")</f>
        <v>Mayor</v>
      </c>
      <c r="AK17" s="229">
        <f>IFERROR(IF(Y17="Impacto",(T117-(+T17*AB17)),IF(Y17="Probabilidad",T17,"")),"")</f>
        <v>0.8</v>
      </c>
      <c r="AL17" s="232" t="str">
        <f t="shared" si="7"/>
        <v>Alto</v>
      </c>
      <c r="AM17" s="342" t="s">
        <v>75</v>
      </c>
      <c r="AN17" s="322">
        <v>1</v>
      </c>
      <c r="AO17" s="326" t="s">
        <v>192</v>
      </c>
      <c r="AP17" s="331" t="s">
        <v>193</v>
      </c>
      <c r="AQ17" s="331" t="s">
        <v>194</v>
      </c>
      <c r="AR17" s="333">
        <v>46336</v>
      </c>
      <c r="AS17" s="333">
        <v>46268</v>
      </c>
      <c r="AT17" s="233"/>
      <c r="AU17" s="233"/>
      <c r="AV17" s="233"/>
      <c r="AW17" s="233"/>
      <c r="AX17" s="233"/>
      <c r="AY17" s="233"/>
      <c r="AZ17" s="336"/>
      <c r="BA17" s="234"/>
      <c r="BB17" s="240"/>
      <c r="BC17" s="329"/>
      <c r="BD17" s="236"/>
      <c r="BE17" s="238"/>
      <c r="BF17" s="241"/>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row>
    <row r="18" spans="4:82" s="223" customFormat="1" ht="90.75" customHeight="1">
      <c r="D18" s="321"/>
      <c r="E18" s="323"/>
      <c r="F18" s="323"/>
      <c r="G18" s="325"/>
      <c r="H18" s="323"/>
      <c r="I18" s="327"/>
      <c r="J18" s="327"/>
      <c r="K18" s="327"/>
      <c r="L18" s="314"/>
      <c r="M18" s="316"/>
      <c r="N18" s="316"/>
      <c r="O18" s="314"/>
      <c r="P18" s="318"/>
      <c r="Q18" s="339"/>
      <c r="R18" s="341"/>
      <c r="S18" s="318"/>
      <c r="T18" s="339"/>
      <c r="U18" s="318"/>
      <c r="V18" s="239">
        <v>2</v>
      </c>
      <c r="W18" s="225"/>
      <c r="X18" s="226"/>
      <c r="Y18" s="227"/>
      <c r="Z18" s="228"/>
      <c r="AA18" s="228"/>
      <c r="AB18" s="229"/>
      <c r="AC18" s="228"/>
      <c r="AD18" s="228"/>
      <c r="AE18" s="228"/>
      <c r="AF18" s="230"/>
      <c r="AG18" s="231" t="str">
        <f t="shared" si="3"/>
        <v/>
      </c>
      <c r="AH18" s="232" t="str">
        <f t="shared" si="4"/>
        <v/>
      </c>
      <c r="AI18" s="229" t="str">
        <f t="shared" si="5"/>
        <v/>
      </c>
      <c r="AJ18" s="232" t="str">
        <f t="shared" si="6"/>
        <v/>
      </c>
      <c r="AK18" s="229" t="str">
        <f>IFERROR(IF(Y18="Impacto",(T18-(+T18*AB18)),IF(Y18="Probabilidad",T17,"")),"")</f>
        <v/>
      </c>
      <c r="AL18" s="232" t="str">
        <f t="shared" si="7"/>
        <v/>
      </c>
      <c r="AM18" s="343"/>
      <c r="AN18" s="323">
        <v>2</v>
      </c>
      <c r="AO18" s="327"/>
      <c r="AP18" s="332"/>
      <c r="AQ18" s="332"/>
      <c r="AR18" s="334"/>
      <c r="AS18" s="334"/>
      <c r="AT18" s="233"/>
      <c r="AU18" s="233"/>
      <c r="AV18" s="233"/>
      <c r="AW18" s="233"/>
      <c r="AX18" s="233"/>
      <c r="AY18" s="233"/>
      <c r="AZ18" s="336"/>
      <c r="BA18" s="234"/>
      <c r="BB18" s="240"/>
      <c r="BC18" s="329"/>
      <c r="BD18" s="236"/>
      <c r="BE18" s="238"/>
      <c r="BF18" s="241"/>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row>
    <row r="19" spans="4:82" s="223" customFormat="1" ht="99.75" hidden="1" customHeight="1">
      <c r="D19" s="320">
        <v>3</v>
      </c>
      <c r="E19" s="322"/>
      <c r="F19" s="322"/>
      <c r="G19" s="324"/>
      <c r="H19" s="322"/>
      <c r="I19" s="326"/>
      <c r="J19" s="326"/>
      <c r="K19" s="344"/>
      <c r="L19" s="313"/>
      <c r="M19" s="315"/>
      <c r="N19" s="315"/>
      <c r="O19" s="346"/>
      <c r="P19" s="317" t="str">
        <f>IF(O19&lt;=0,"",IF(O19&lt;=2,"Muy Baja",IF(O19&lt;=24,"Baja",IF(O19&lt;=500,"Media",IF(O19&lt;=5000,"Alta","Muy Alta")))))</f>
        <v/>
      </c>
      <c r="Q19" s="338" t="str">
        <f t="shared" ref="Q19" si="10">IF(P19="","",IF(P19="Muy Baja",0.2,IF(P19="Baja",0.4,IF(P19="Media",0.6,IF(P19="Alta",0.8,IF(P19="Muy Alta",1,))))))</f>
        <v/>
      </c>
      <c r="R19" s="340"/>
      <c r="S19" s="317" t="str">
        <f>IFERROR(VLOOKUP(R19,Criterios[],2,FALSE),"")</f>
        <v/>
      </c>
      <c r="T19" s="338" t="str">
        <f t="shared" ref="T19" si="11">IF(S19="","",IF(S19="Leve",0.2,IF(S19="Menor",0.4,IF(S19="Moderado",0.6,IF(S19="Mayor",0.8,IF(S19="Catastrófico",1,))))))</f>
        <v/>
      </c>
      <c r="U19" s="317" t="str">
        <f t="shared" ref="U19" si="12">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
      </c>
      <c r="V19" s="224">
        <v>1</v>
      </c>
      <c r="W19" s="225"/>
      <c r="X19" s="226"/>
      <c r="Y19" s="227"/>
      <c r="Z19" s="228"/>
      <c r="AA19" s="228"/>
      <c r="AB19" s="229"/>
      <c r="AC19" s="228"/>
      <c r="AD19" s="228"/>
      <c r="AE19" s="228"/>
      <c r="AF19" s="230"/>
      <c r="AG19" s="231"/>
      <c r="AH19" s="232"/>
      <c r="AI19" s="229"/>
      <c r="AJ19" s="232" t="str">
        <f t="shared" si="6"/>
        <v/>
      </c>
      <c r="AK19" s="229" t="str">
        <f t="shared" ref="AK19:AK32" si="13">IFERROR(IF(Y19="Impacto",(T19-(+T19*AB19)),IF(Y19="Probabilidad",T18,"")),"")</f>
        <v/>
      </c>
      <c r="AL19" s="232" t="str">
        <f t="shared" si="7"/>
        <v/>
      </c>
      <c r="AM19" s="342" t="s">
        <v>75</v>
      </c>
      <c r="AN19" s="322">
        <v>1</v>
      </c>
      <c r="AO19" s="326"/>
      <c r="AP19" s="331"/>
      <c r="AQ19" s="333"/>
      <c r="AR19" s="333"/>
      <c r="AS19" s="333"/>
      <c r="AT19" s="233"/>
      <c r="AU19" s="233"/>
      <c r="AV19" s="233"/>
      <c r="AW19" s="233"/>
      <c r="AX19" s="233"/>
      <c r="AY19" s="233"/>
      <c r="AZ19" s="336"/>
      <c r="BA19" s="234"/>
      <c r="BB19" s="240"/>
      <c r="BC19" s="329"/>
      <c r="BD19" s="236"/>
      <c r="BE19" s="238"/>
      <c r="BF19" s="241"/>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row>
    <row r="20" spans="4:82" s="223" customFormat="1" ht="82.5" hidden="1" customHeight="1">
      <c r="D20" s="321"/>
      <c r="E20" s="323"/>
      <c r="F20" s="323"/>
      <c r="G20" s="325"/>
      <c r="H20" s="323"/>
      <c r="I20" s="327"/>
      <c r="J20" s="327"/>
      <c r="K20" s="345"/>
      <c r="L20" s="314"/>
      <c r="M20" s="316"/>
      <c r="N20" s="316"/>
      <c r="O20" s="347"/>
      <c r="P20" s="318"/>
      <c r="Q20" s="339"/>
      <c r="R20" s="341"/>
      <c r="S20" s="318"/>
      <c r="T20" s="339"/>
      <c r="U20" s="318"/>
      <c r="V20" s="239">
        <v>2</v>
      </c>
      <c r="W20" s="225"/>
      <c r="X20" s="226"/>
      <c r="Y20" s="227" t="str">
        <f t="shared" si="1"/>
        <v/>
      </c>
      <c r="Z20" s="228"/>
      <c r="AA20" s="228"/>
      <c r="AB20" s="229" t="str">
        <f t="shared" si="2"/>
        <v/>
      </c>
      <c r="AC20" s="228"/>
      <c r="AD20" s="228"/>
      <c r="AE20" s="228"/>
      <c r="AF20" s="230"/>
      <c r="AG20" s="231" t="str">
        <f t="shared" si="3"/>
        <v/>
      </c>
      <c r="AH20" s="232" t="str">
        <f t="shared" si="4"/>
        <v/>
      </c>
      <c r="AI20" s="229" t="str">
        <f t="shared" si="5"/>
        <v/>
      </c>
      <c r="AJ20" s="232" t="str">
        <f t="shared" si="6"/>
        <v/>
      </c>
      <c r="AK20" s="229" t="str">
        <f t="shared" si="13"/>
        <v/>
      </c>
      <c r="AL20" s="232" t="str">
        <f t="shared" si="7"/>
        <v/>
      </c>
      <c r="AM20" s="343"/>
      <c r="AN20" s="323"/>
      <c r="AO20" s="327"/>
      <c r="AP20" s="332"/>
      <c r="AQ20" s="334"/>
      <c r="AR20" s="334"/>
      <c r="AS20" s="334"/>
      <c r="AT20" s="233"/>
      <c r="AU20" s="233"/>
      <c r="AV20" s="233"/>
      <c r="AW20" s="233"/>
      <c r="AX20" s="233"/>
      <c r="AY20" s="233"/>
      <c r="AZ20" s="336"/>
      <c r="BA20" s="234"/>
      <c r="BB20" s="240"/>
      <c r="BC20" s="329"/>
      <c r="BD20" s="236"/>
      <c r="BE20" s="241"/>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row>
    <row r="21" spans="4:82" s="223" customFormat="1" ht="39.75" hidden="1" customHeight="1">
      <c r="D21" s="320">
        <v>4</v>
      </c>
      <c r="E21" s="322"/>
      <c r="F21" s="322"/>
      <c r="G21" s="324"/>
      <c r="H21" s="322"/>
      <c r="I21" s="326"/>
      <c r="J21" s="326"/>
      <c r="K21" s="344" t="s">
        <v>195</v>
      </c>
      <c r="L21" s="313"/>
      <c r="M21" s="315"/>
      <c r="N21" s="315"/>
      <c r="O21" s="313"/>
      <c r="P21" s="317" t="str">
        <f>IF(O21&lt;=0,"",IF(O21&lt;=2,"Muy Baja",IF(O21&lt;=24,"Baja",IF(O21&lt;=500,"Media",IF(O21&lt;=5000,"Alta","Muy Alta")))))</f>
        <v/>
      </c>
      <c r="Q21" s="338" t="str">
        <f t="shared" ref="Q21" si="14">IF(P21="","",IF(P21="Muy Baja",0.2,IF(P21="Baja",0.4,IF(P21="Media",0.6,IF(P21="Alta",0.8,IF(P21="Muy Alta",1,))))))</f>
        <v/>
      </c>
      <c r="R21" s="340"/>
      <c r="S21" s="317" t="str">
        <f>IFERROR(VLOOKUP(R21,Criterios[],2,FALSE),"")</f>
        <v/>
      </c>
      <c r="T21" s="338" t="str">
        <f t="shared" ref="T21" si="15">IF(S21="","",IF(S21="Leve",0.2,IF(S21="Menor",0.4,IF(S21="Moderado",0.6,IF(S21="Mayor",0.8,IF(S21="Catastrófico",1,))))))</f>
        <v/>
      </c>
      <c r="U21" s="317" t="str">
        <f t="shared" ref="U21" si="16">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
      </c>
      <c r="V21" s="224">
        <v>1</v>
      </c>
      <c r="W21" s="225"/>
      <c r="X21" s="226"/>
      <c r="Y21" s="227" t="str">
        <f t="shared" si="1"/>
        <v/>
      </c>
      <c r="Z21" s="228"/>
      <c r="AA21" s="228"/>
      <c r="AB21" s="229" t="str">
        <f t="shared" si="2"/>
        <v/>
      </c>
      <c r="AC21" s="228"/>
      <c r="AD21" s="228"/>
      <c r="AE21" s="228"/>
      <c r="AF21" s="230"/>
      <c r="AG21" s="231" t="str">
        <f t="shared" si="3"/>
        <v/>
      </c>
      <c r="AH21" s="232" t="str">
        <f t="shared" si="4"/>
        <v/>
      </c>
      <c r="AI21" s="229" t="str">
        <f t="shared" si="5"/>
        <v/>
      </c>
      <c r="AJ21" s="232" t="str">
        <f t="shared" si="6"/>
        <v/>
      </c>
      <c r="AK21" s="229" t="str">
        <f t="shared" si="13"/>
        <v/>
      </c>
      <c r="AL21" s="232" t="str">
        <f t="shared" si="7"/>
        <v/>
      </c>
      <c r="AM21" s="342" t="s">
        <v>75</v>
      </c>
      <c r="AN21" s="224">
        <v>1</v>
      </c>
      <c r="AO21" s="326"/>
      <c r="AP21" s="331"/>
      <c r="AQ21" s="333"/>
      <c r="AR21" s="333"/>
      <c r="AS21" s="333"/>
      <c r="AT21" s="233"/>
      <c r="AU21" s="233"/>
      <c r="AV21" s="233"/>
      <c r="AW21" s="233"/>
      <c r="AX21" s="233"/>
      <c r="AY21" s="233"/>
      <c r="AZ21" s="336"/>
      <c r="BA21" s="242"/>
      <c r="BB21" s="242"/>
      <c r="BC21" s="329"/>
      <c r="BD21" s="236"/>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row>
    <row r="22" spans="4:82" s="223" customFormat="1" ht="39.75" hidden="1" customHeight="1">
      <c r="D22" s="321"/>
      <c r="E22" s="323"/>
      <c r="F22" s="323"/>
      <c r="G22" s="325"/>
      <c r="H22" s="323"/>
      <c r="I22" s="327"/>
      <c r="J22" s="327"/>
      <c r="K22" s="345"/>
      <c r="L22" s="314"/>
      <c r="M22" s="316"/>
      <c r="N22" s="316"/>
      <c r="O22" s="314"/>
      <c r="P22" s="318"/>
      <c r="Q22" s="339"/>
      <c r="R22" s="341"/>
      <c r="S22" s="318"/>
      <c r="T22" s="339"/>
      <c r="U22" s="318"/>
      <c r="V22" s="239">
        <v>2</v>
      </c>
      <c r="W22" s="225"/>
      <c r="X22" s="226"/>
      <c r="Y22" s="227" t="str">
        <f t="shared" si="1"/>
        <v/>
      </c>
      <c r="Z22" s="228"/>
      <c r="AA22" s="228"/>
      <c r="AB22" s="229" t="str">
        <f t="shared" si="2"/>
        <v/>
      </c>
      <c r="AC22" s="228"/>
      <c r="AD22" s="228"/>
      <c r="AE22" s="228"/>
      <c r="AF22" s="230"/>
      <c r="AG22" s="231" t="str">
        <f t="shared" si="3"/>
        <v/>
      </c>
      <c r="AH22" s="232" t="str">
        <f t="shared" si="4"/>
        <v/>
      </c>
      <c r="AI22" s="229" t="str">
        <f t="shared" si="5"/>
        <v/>
      </c>
      <c r="AJ22" s="232" t="str">
        <f t="shared" si="6"/>
        <v/>
      </c>
      <c r="AK22" s="229" t="str">
        <f t="shared" si="13"/>
        <v/>
      </c>
      <c r="AL22" s="232" t="str">
        <f t="shared" si="7"/>
        <v/>
      </c>
      <c r="AM22" s="343"/>
      <c r="AN22" s="239">
        <v>2</v>
      </c>
      <c r="AO22" s="327"/>
      <c r="AP22" s="332"/>
      <c r="AQ22" s="334"/>
      <c r="AR22" s="334"/>
      <c r="AS22" s="334"/>
      <c r="AT22" s="233"/>
      <c r="AU22" s="233"/>
      <c r="AV22" s="233"/>
      <c r="AW22" s="233"/>
      <c r="AX22" s="233"/>
      <c r="AY22" s="233"/>
      <c r="AZ22" s="336"/>
      <c r="BA22" s="242"/>
      <c r="BB22" s="242"/>
      <c r="BC22" s="329"/>
      <c r="BD22" s="236"/>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row>
    <row r="23" spans="4:82" s="183" customFormat="1" ht="58.5" hidden="1" customHeight="1">
      <c r="D23" s="368">
        <v>5</v>
      </c>
      <c r="E23" s="354"/>
      <c r="F23" s="354"/>
      <c r="G23" s="356"/>
      <c r="H23" s="354"/>
      <c r="I23" s="358"/>
      <c r="J23" s="358"/>
      <c r="K23" s="326"/>
      <c r="L23" s="348"/>
      <c r="M23" s="366"/>
      <c r="N23" s="366"/>
      <c r="O23" s="348"/>
      <c r="P23" s="350" t="str">
        <f t="shared" ref="P23:P31" si="17">IF(O23&lt;=0,"",IF(O23&lt;=2,"Muy Baja",IF(O23&lt;=24,"Baja",IF(O23&lt;=500,"Media",IF(O23&lt;=5000,"Alta","Muy Alta")))))</f>
        <v/>
      </c>
      <c r="Q23" s="352" t="str">
        <f t="shared" ref="Q23" si="18">IF(P23="","",IF(P23="Muy Baja",0.2,IF(P23="Baja",0.4,IF(P23="Media",0.6,IF(P23="Alta",0.8,IF(P23="Muy Alta",1,))))))</f>
        <v/>
      </c>
      <c r="R23" s="372"/>
      <c r="S23" s="317" t="str">
        <f>IFERROR(VLOOKUP(R23,Criterios[],2,FALSE),"")</f>
        <v/>
      </c>
      <c r="T23" s="338" t="str">
        <f t="shared" ref="T23" si="19">IF(S23="","",IF(S23="Leve",0.2,IF(S23="Menor",0.4,IF(S23="Moderado",0.6,IF(S23="Mayor",0.8,IF(S23="Catastrófico",1,))))))</f>
        <v/>
      </c>
      <c r="U23" s="317" t="str">
        <f t="shared" ref="U23" si="20">IF(OR(AND(P23="Muy Baja",S23="Leve"),AND(P23="Muy Baja",S23="Menor"),AND(P23="Baja",S23="Leve")),"Bajo",IF(OR(AND(P23="Muy baja",S23="Moderado"),AND(P23="Baja",S23="Menor"),AND(P23="Baja",S23="Moderado"),AND(P23="Media",S23="Leve"),AND(P23="Media",S23="Menor"),AND(P23="Media",S23="Moderado"),AND(P23="Alta",S23="Leve"),AND(P23="Alta",S23="Menor")),"Moderado",IF(OR(AND(P23="Muy Baja",S23="Mayor"),AND(P23="Baja",S23="Mayor"),AND(P23="Media",S23="Mayor"),AND(P23="Alta",S23="Moderado"),AND(P23="Alta",S23="Mayor"),AND(P23="Muy Alta",S23="Leve"),AND(P23="Muy Alta",S23="Menor"),AND(P23="Muy Alta",S23="Moderado"),AND(P23="Muy Alta",S23="Mayor")),"Alto",IF(OR(AND(P23="Muy Baja",S23="Catastrófico"),AND(P23="Baja",S23="Catastrófico"),AND(P23="Media",S23="Catastrófico"),AND(P23="Alta",S23="Catastrófico"),AND(P23="Muy Alta",S23="Catastrófico")),"Extremo",""))))</f>
        <v/>
      </c>
      <c r="V23" s="192">
        <v>1</v>
      </c>
      <c r="W23" s="193"/>
      <c r="X23" s="194"/>
      <c r="Y23" s="227" t="str">
        <f t="shared" si="1"/>
        <v/>
      </c>
      <c r="Z23" s="196"/>
      <c r="AA23" s="196"/>
      <c r="AB23" s="229" t="str">
        <f t="shared" si="2"/>
        <v/>
      </c>
      <c r="AC23" s="196"/>
      <c r="AD23" s="196"/>
      <c r="AE23" s="184"/>
      <c r="AF23" s="215"/>
      <c r="AG23" s="231" t="str">
        <f t="shared" si="3"/>
        <v/>
      </c>
      <c r="AH23" s="232" t="str">
        <f t="shared" si="4"/>
        <v/>
      </c>
      <c r="AI23" s="229" t="str">
        <f t="shared" si="5"/>
        <v/>
      </c>
      <c r="AJ23" s="232" t="str">
        <f t="shared" si="6"/>
        <v/>
      </c>
      <c r="AK23" s="229" t="str">
        <f t="shared" si="13"/>
        <v/>
      </c>
      <c r="AL23" s="232" t="str">
        <f t="shared" si="7"/>
        <v/>
      </c>
      <c r="AM23" s="360" t="s">
        <v>75</v>
      </c>
      <c r="AN23" s="192">
        <v>1</v>
      </c>
      <c r="AO23" s="358"/>
      <c r="AP23" s="362"/>
      <c r="AQ23" s="364"/>
      <c r="AR23" s="333"/>
      <c r="AS23" s="333"/>
      <c r="AT23" s="221"/>
      <c r="AU23" s="221"/>
      <c r="AV23" s="221"/>
      <c r="AW23" s="221"/>
      <c r="AX23" s="221"/>
      <c r="AY23" s="221"/>
      <c r="AZ23" s="336"/>
      <c r="BA23" s="219"/>
      <c r="BB23" s="219"/>
      <c r="BC23" s="329"/>
      <c r="BD23" s="222"/>
      <c r="BE23" s="185"/>
      <c r="BF23" s="185"/>
      <c r="BG23" s="185"/>
      <c r="BH23" s="185"/>
      <c r="BI23" s="185"/>
      <c r="BJ23" s="185"/>
      <c r="BK23" s="185"/>
      <c r="BL23" s="185"/>
      <c r="BM23" s="185"/>
      <c r="BN23" s="185"/>
      <c r="BO23" s="185"/>
      <c r="BP23" s="185"/>
      <c r="BQ23" s="185"/>
      <c r="BR23" s="185"/>
      <c r="BS23" s="185"/>
      <c r="BT23" s="185"/>
      <c r="BU23" s="185"/>
      <c r="BV23" s="185"/>
      <c r="BW23" s="185"/>
      <c r="BX23" s="185"/>
      <c r="BY23" s="185"/>
      <c r="BZ23" s="185"/>
      <c r="CA23" s="185"/>
      <c r="CB23" s="185"/>
      <c r="CC23" s="185"/>
      <c r="CD23" s="185"/>
    </row>
    <row r="24" spans="4:82" s="183" customFormat="1" ht="58.5" hidden="1" customHeight="1">
      <c r="D24" s="369"/>
      <c r="E24" s="355"/>
      <c r="F24" s="355"/>
      <c r="G24" s="357"/>
      <c r="H24" s="355"/>
      <c r="I24" s="359"/>
      <c r="J24" s="359"/>
      <c r="K24" s="327"/>
      <c r="L24" s="349"/>
      <c r="M24" s="367"/>
      <c r="N24" s="367"/>
      <c r="O24" s="349"/>
      <c r="P24" s="351"/>
      <c r="Q24" s="353"/>
      <c r="R24" s="373"/>
      <c r="S24" s="318"/>
      <c r="T24" s="339"/>
      <c r="U24" s="318"/>
      <c r="V24" s="200">
        <v>2</v>
      </c>
      <c r="W24" s="193"/>
      <c r="X24" s="194"/>
      <c r="Y24" s="227" t="str">
        <f t="shared" si="1"/>
        <v/>
      </c>
      <c r="Z24" s="196"/>
      <c r="AA24" s="196"/>
      <c r="AB24" s="229" t="str">
        <f t="shared" si="2"/>
        <v/>
      </c>
      <c r="AC24" s="196"/>
      <c r="AD24" s="196"/>
      <c r="AE24" s="184"/>
      <c r="AF24" s="215"/>
      <c r="AG24" s="231" t="str">
        <f t="shared" si="3"/>
        <v/>
      </c>
      <c r="AH24" s="232" t="str">
        <f t="shared" si="4"/>
        <v/>
      </c>
      <c r="AI24" s="229" t="str">
        <f t="shared" si="5"/>
        <v/>
      </c>
      <c r="AJ24" s="232" t="str">
        <f t="shared" si="6"/>
        <v/>
      </c>
      <c r="AK24" s="229" t="str">
        <f t="shared" si="13"/>
        <v/>
      </c>
      <c r="AL24" s="232" t="str">
        <f t="shared" si="7"/>
        <v/>
      </c>
      <c r="AM24" s="361"/>
      <c r="AN24" s="200">
        <v>2</v>
      </c>
      <c r="AO24" s="359"/>
      <c r="AP24" s="363"/>
      <c r="AQ24" s="365"/>
      <c r="AR24" s="334"/>
      <c r="AS24" s="334"/>
      <c r="AT24" s="221"/>
      <c r="AU24" s="221"/>
      <c r="AV24" s="221"/>
      <c r="AW24" s="221"/>
      <c r="AX24" s="221"/>
      <c r="AY24" s="221"/>
      <c r="AZ24" s="336"/>
      <c r="BA24" s="219"/>
      <c r="BB24" s="219"/>
      <c r="BC24" s="329"/>
      <c r="BD24" s="222"/>
      <c r="BE24" s="185"/>
      <c r="BF24" s="185"/>
      <c r="BG24" s="185"/>
      <c r="BH24" s="185"/>
      <c r="BI24" s="185"/>
      <c r="BJ24" s="185"/>
      <c r="BK24" s="185"/>
      <c r="BL24" s="185"/>
      <c r="BM24" s="185"/>
      <c r="BN24" s="185"/>
      <c r="BO24" s="185"/>
      <c r="BP24" s="185"/>
      <c r="BQ24" s="185"/>
      <c r="BR24" s="185"/>
      <c r="BS24" s="185"/>
      <c r="BT24" s="185"/>
      <c r="BU24" s="185"/>
      <c r="BV24" s="185"/>
      <c r="BW24" s="185"/>
      <c r="BX24" s="185"/>
      <c r="BY24" s="185"/>
      <c r="BZ24" s="185"/>
      <c r="CA24" s="185"/>
      <c r="CB24" s="185"/>
      <c r="CC24" s="185"/>
      <c r="CD24" s="185"/>
    </row>
    <row r="25" spans="4:82" s="183" customFormat="1" ht="39.75" hidden="1" customHeight="1">
      <c r="D25" s="370">
        <v>6</v>
      </c>
      <c r="E25" s="354"/>
      <c r="F25" s="354"/>
      <c r="G25" s="356"/>
      <c r="H25" s="354"/>
      <c r="I25" s="358"/>
      <c r="J25" s="358"/>
      <c r="K25" s="358"/>
      <c r="L25" s="348"/>
      <c r="M25" s="366"/>
      <c r="N25" s="366"/>
      <c r="O25" s="348"/>
      <c r="P25" s="350" t="str">
        <f t="shared" si="17"/>
        <v/>
      </c>
      <c r="Q25" s="352" t="str">
        <f t="shared" ref="Q25" si="21">IF(P25="","",IF(P25="Muy Baja",0.2,IF(P25="Baja",0.4,IF(P25="Media",0.6,IF(P25="Alta",0.8,IF(P25="Muy Alta",1,))))))</f>
        <v/>
      </c>
      <c r="R25" s="372"/>
      <c r="S25" s="317" t="str">
        <f>IFERROR(VLOOKUP(R25,Criterios[],2,FALSE),"")</f>
        <v/>
      </c>
      <c r="T25" s="338" t="str">
        <f t="shared" ref="T25" si="22">IF(S25="","",IF(S25="Leve",0.2,IF(S25="Menor",0.4,IF(S25="Moderado",0.6,IF(S25="Mayor",0.8,IF(S25="Catastrófico",1,))))))</f>
        <v/>
      </c>
      <c r="U25" s="317" t="str">
        <f t="shared" ref="U25" si="23">IF(OR(AND(P25="Muy Baja",S25="Leve"),AND(P25="Muy Baja",S25="Menor"),AND(P25="Baja",S25="Leve")),"Bajo",IF(OR(AND(P25="Muy baja",S25="Moderado"),AND(P25="Baja",S25="Menor"),AND(P25="Baja",S25="Moderado"),AND(P25="Media",S25="Leve"),AND(P25="Media",S25="Menor"),AND(P25="Media",S25="Moderado"),AND(P25="Alta",S25="Leve"),AND(P25="Alta",S25="Menor")),"Moderado",IF(OR(AND(P25="Muy Baja",S25="Mayor"),AND(P25="Baja",S25="Mayor"),AND(P25="Media",S25="Mayor"),AND(P25="Alta",S25="Moderado"),AND(P25="Alta",S25="Mayor"),AND(P25="Muy Alta",S25="Leve"),AND(P25="Muy Alta",S25="Menor"),AND(P25="Muy Alta",S25="Moderado"),AND(P25="Muy Alta",S25="Mayor")),"Alto",IF(OR(AND(P25="Muy Baja",S25="Catastrófico"),AND(P25="Baja",S25="Catastrófico"),AND(P25="Media",S25="Catastrófico"),AND(P25="Alta",S25="Catastrófico"),AND(P25="Muy Alta",S25="Catastrófico")),"Extremo",""))))</f>
        <v/>
      </c>
      <c r="V25" s="192">
        <v>1</v>
      </c>
      <c r="W25" s="193"/>
      <c r="X25" s="194"/>
      <c r="Y25" s="227" t="str">
        <f t="shared" si="1"/>
        <v/>
      </c>
      <c r="Z25" s="196"/>
      <c r="AA25" s="196"/>
      <c r="AB25" s="229" t="str">
        <f t="shared" si="2"/>
        <v/>
      </c>
      <c r="AC25" s="196"/>
      <c r="AD25" s="196"/>
      <c r="AE25" s="184"/>
      <c r="AF25" s="215"/>
      <c r="AG25" s="231" t="str">
        <f t="shared" si="3"/>
        <v/>
      </c>
      <c r="AH25" s="232" t="str">
        <f t="shared" si="4"/>
        <v/>
      </c>
      <c r="AI25" s="229" t="str">
        <f t="shared" si="5"/>
        <v/>
      </c>
      <c r="AJ25" s="232" t="str">
        <f t="shared" si="6"/>
        <v/>
      </c>
      <c r="AK25" s="229" t="str">
        <f t="shared" si="13"/>
        <v/>
      </c>
      <c r="AL25" s="232" t="str">
        <f t="shared" si="7"/>
        <v/>
      </c>
      <c r="AM25" s="360" t="s">
        <v>75</v>
      </c>
      <c r="AN25" s="192">
        <v>1</v>
      </c>
      <c r="AO25" s="358"/>
      <c r="AP25" s="362"/>
      <c r="AQ25" s="364"/>
      <c r="AR25" s="333"/>
      <c r="AS25" s="333"/>
      <c r="AT25" s="221"/>
      <c r="AU25" s="221"/>
      <c r="AV25" s="221"/>
      <c r="AW25" s="221"/>
      <c r="AX25" s="221"/>
      <c r="AY25" s="221"/>
      <c r="AZ25" s="336"/>
      <c r="BA25" s="219"/>
      <c r="BB25" s="219"/>
      <c r="BC25" s="329"/>
      <c r="BD25" s="222"/>
      <c r="BE25" s="185"/>
      <c r="BF25" s="185"/>
      <c r="BG25" s="185"/>
      <c r="BH25" s="185"/>
      <c r="BI25" s="185"/>
      <c r="BJ25" s="185"/>
      <c r="BK25" s="185"/>
      <c r="BL25" s="185"/>
      <c r="BM25" s="185"/>
      <c r="BN25" s="185"/>
      <c r="BO25" s="185"/>
      <c r="BP25" s="185"/>
      <c r="BQ25" s="185"/>
      <c r="BR25" s="185"/>
      <c r="BS25" s="185"/>
      <c r="BT25" s="185"/>
      <c r="BU25" s="185"/>
      <c r="BV25" s="185"/>
      <c r="BW25" s="185"/>
      <c r="BX25" s="185"/>
      <c r="BY25" s="185"/>
      <c r="BZ25" s="185"/>
      <c r="CA25" s="185"/>
      <c r="CB25" s="185"/>
      <c r="CC25" s="185"/>
      <c r="CD25" s="185"/>
    </row>
    <row r="26" spans="4:82" s="183" customFormat="1" ht="39.75" hidden="1" customHeight="1">
      <c r="D26" s="371"/>
      <c r="E26" s="355"/>
      <c r="F26" s="355"/>
      <c r="G26" s="357"/>
      <c r="H26" s="355"/>
      <c r="I26" s="359"/>
      <c r="J26" s="359"/>
      <c r="K26" s="359"/>
      <c r="L26" s="349"/>
      <c r="M26" s="367"/>
      <c r="N26" s="367"/>
      <c r="O26" s="349"/>
      <c r="P26" s="351"/>
      <c r="Q26" s="353"/>
      <c r="R26" s="373"/>
      <c r="S26" s="318"/>
      <c r="T26" s="339"/>
      <c r="U26" s="318"/>
      <c r="V26" s="200">
        <v>2</v>
      </c>
      <c r="W26" s="193"/>
      <c r="X26" s="194"/>
      <c r="Y26" s="227" t="str">
        <f t="shared" si="1"/>
        <v/>
      </c>
      <c r="Z26" s="196"/>
      <c r="AA26" s="196"/>
      <c r="AB26" s="229" t="str">
        <f t="shared" si="2"/>
        <v/>
      </c>
      <c r="AC26" s="196"/>
      <c r="AD26" s="196"/>
      <c r="AE26" s="184"/>
      <c r="AF26" s="215"/>
      <c r="AG26" s="231" t="str">
        <f t="shared" si="3"/>
        <v/>
      </c>
      <c r="AH26" s="232" t="str">
        <f t="shared" si="4"/>
        <v/>
      </c>
      <c r="AI26" s="229" t="str">
        <f t="shared" si="5"/>
        <v/>
      </c>
      <c r="AJ26" s="232" t="str">
        <f t="shared" si="6"/>
        <v/>
      </c>
      <c r="AK26" s="229" t="str">
        <f t="shared" si="13"/>
        <v/>
      </c>
      <c r="AL26" s="232" t="str">
        <f t="shared" si="7"/>
        <v/>
      </c>
      <c r="AM26" s="361"/>
      <c r="AN26" s="200">
        <v>2</v>
      </c>
      <c r="AO26" s="359"/>
      <c r="AP26" s="363"/>
      <c r="AQ26" s="365"/>
      <c r="AR26" s="334"/>
      <c r="AS26" s="334"/>
      <c r="AT26" s="221"/>
      <c r="AU26" s="221"/>
      <c r="AV26" s="221"/>
      <c r="AW26" s="221"/>
      <c r="AX26" s="221"/>
      <c r="AY26" s="221"/>
      <c r="AZ26" s="336"/>
      <c r="BA26" s="219"/>
      <c r="BB26" s="219"/>
      <c r="BC26" s="329"/>
      <c r="BD26" s="222"/>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c r="CA26" s="185"/>
      <c r="CB26" s="185"/>
      <c r="CC26" s="185"/>
      <c r="CD26" s="185"/>
    </row>
    <row r="27" spans="4:82" s="183" customFormat="1" ht="39.75" hidden="1" customHeight="1">
      <c r="D27" s="370">
        <v>7</v>
      </c>
      <c r="E27" s="354"/>
      <c r="F27" s="354"/>
      <c r="G27" s="356"/>
      <c r="H27" s="354"/>
      <c r="I27" s="358"/>
      <c r="J27" s="358"/>
      <c r="K27" s="358"/>
      <c r="L27" s="348"/>
      <c r="M27" s="366"/>
      <c r="N27" s="366"/>
      <c r="O27" s="348"/>
      <c r="P27" s="350" t="str">
        <f t="shared" si="17"/>
        <v/>
      </c>
      <c r="Q27" s="352" t="str">
        <f t="shared" ref="Q27" si="24">IF(P27="","",IF(P27="Muy Baja",0.2,IF(P27="Baja",0.4,IF(P27="Media",0.6,IF(P27="Alta",0.8,IF(P27="Muy Alta",1,))))))</f>
        <v/>
      </c>
      <c r="R27" s="372"/>
      <c r="S27" s="317" t="str">
        <f>IFERROR(VLOOKUP(R27,Criterios[],2,FALSE),"")</f>
        <v/>
      </c>
      <c r="T27" s="338" t="str">
        <f t="shared" ref="T27" si="25">IF(S27="","",IF(S27="Leve",0.2,IF(S27="Menor",0.4,IF(S27="Moderado",0.6,IF(S27="Mayor",0.8,IF(S27="Catastrófico",1,))))))</f>
        <v/>
      </c>
      <c r="U27" s="317" t="str">
        <f t="shared" ref="U27" si="26">IF(OR(AND(P27="Muy Baja",S27="Leve"),AND(P27="Muy Baja",S27="Menor"),AND(P27="Baja",S27="Leve")),"Bajo",IF(OR(AND(P27="Muy baja",S27="Moderado"),AND(P27="Baja",S27="Menor"),AND(P27="Baja",S27="Moderado"),AND(P27="Media",S27="Leve"),AND(P27="Media",S27="Menor"),AND(P27="Media",S27="Moderado"),AND(P27="Alta",S27="Leve"),AND(P27="Alta",S27="Menor")),"Moderado",IF(OR(AND(P27="Muy Baja",S27="Mayor"),AND(P27="Baja",S27="Mayor"),AND(P27="Media",S27="Mayor"),AND(P27="Alta",S27="Moderado"),AND(P27="Alta",S27="Mayor"),AND(P27="Muy Alta",S27="Leve"),AND(P27="Muy Alta",S27="Menor"),AND(P27="Muy Alta",S27="Moderado"),AND(P27="Muy Alta",S27="Mayor")),"Alto",IF(OR(AND(P27="Muy Baja",S27="Catastrófico"),AND(P27="Baja",S27="Catastrófico"),AND(P27="Media",S27="Catastrófico"),AND(P27="Alta",S27="Catastrófico"),AND(P27="Muy Alta",S27="Catastrófico")),"Extremo",""))))</f>
        <v/>
      </c>
      <c r="V27" s="192">
        <v>1</v>
      </c>
      <c r="W27" s="193"/>
      <c r="X27" s="194"/>
      <c r="Y27" s="227" t="str">
        <f t="shared" si="1"/>
        <v/>
      </c>
      <c r="Z27" s="196"/>
      <c r="AA27" s="196"/>
      <c r="AB27" s="229" t="str">
        <f t="shared" si="2"/>
        <v/>
      </c>
      <c r="AC27" s="196"/>
      <c r="AD27" s="196"/>
      <c r="AE27" s="184"/>
      <c r="AF27" s="215"/>
      <c r="AG27" s="231" t="str">
        <f t="shared" si="3"/>
        <v/>
      </c>
      <c r="AH27" s="232" t="str">
        <f t="shared" si="4"/>
        <v/>
      </c>
      <c r="AI27" s="229" t="str">
        <f t="shared" si="5"/>
        <v/>
      </c>
      <c r="AJ27" s="232" t="str">
        <f t="shared" si="6"/>
        <v/>
      </c>
      <c r="AK27" s="229" t="str">
        <f t="shared" si="13"/>
        <v/>
      </c>
      <c r="AL27" s="232" t="str">
        <f t="shared" si="7"/>
        <v/>
      </c>
      <c r="AM27" s="360" t="s">
        <v>75</v>
      </c>
      <c r="AN27" s="192">
        <v>1</v>
      </c>
      <c r="AO27" s="358"/>
      <c r="AP27" s="362"/>
      <c r="AQ27" s="364"/>
      <c r="AR27" s="333"/>
      <c r="AS27" s="364"/>
      <c r="AT27" s="221"/>
      <c r="AU27" s="221"/>
      <c r="AV27" s="221"/>
      <c r="AW27" s="221"/>
      <c r="AX27" s="221"/>
      <c r="AY27" s="221"/>
      <c r="AZ27" s="336"/>
      <c r="BA27" s="219"/>
      <c r="BB27" s="219"/>
      <c r="BC27" s="329"/>
      <c r="BD27" s="222"/>
      <c r="BE27" s="185"/>
      <c r="BF27" s="185"/>
      <c r="BG27" s="185"/>
      <c r="BH27" s="185"/>
      <c r="BI27" s="185"/>
      <c r="BJ27" s="185"/>
      <c r="BK27" s="185"/>
      <c r="BL27" s="185"/>
      <c r="BM27" s="185"/>
      <c r="BN27" s="185"/>
      <c r="BO27" s="185"/>
      <c r="BP27" s="185"/>
      <c r="BQ27" s="185"/>
      <c r="BR27" s="185"/>
      <c r="BS27" s="185"/>
      <c r="BT27" s="185"/>
      <c r="BU27" s="185"/>
      <c r="BV27" s="185"/>
      <c r="BW27" s="185"/>
      <c r="BX27" s="185"/>
      <c r="BY27" s="185"/>
      <c r="BZ27" s="185"/>
      <c r="CA27" s="185"/>
      <c r="CB27" s="185"/>
      <c r="CC27" s="185"/>
      <c r="CD27" s="185"/>
    </row>
    <row r="28" spans="4:82" s="183" customFormat="1" ht="39.75" hidden="1" customHeight="1">
      <c r="D28" s="371"/>
      <c r="E28" s="355"/>
      <c r="F28" s="355"/>
      <c r="G28" s="357"/>
      <c r="H28" s="355"/>
      <c r="I28" s="359"/>
      <c r="J28" s="359"/>
      <c r="K28" s="359"/>
      <c r="L28" s="349"/>
      <c r="M28" s="367"/>
      <c r="N28" s="367"/>
      <c r="O28" s="349"/>
      <c r="P28" s="351"/>
      <c r="Q28" s="353"/>
      <c r="R28" s="373"/>
      <c r="S28" s="318"/>
      <c r="T28" s="339"/>
      <c r="U28" s="318"/>
      <c r="V28" s="200">
        <v>2</v>
      </c>
      <c r="W28" s="193"/>
      <c r="X28" s="194"/>
      <c r="Y28" s="227" t="str">
        <f t="shared" si="1"/>
        <v/>
      </c>
      <c r="Z28" s="196"/>
      <c r="AA28" s="196"/>
      <c r="AB28" s="229" t="str">
        <f t="shared" si="2"/>
        <v/>
      </c>
      <c r="AC28" s="196"/>
      <c r="AD28" s="196"/>
      <c r="AE28" s="184"/>
      <c r="AF28" s="215"/>
      <c r="AG28" s="231" t="str">
        <f t="shared" si="3"/>
        <v/>
      </c>
      <c r="AH28" s="232" t="str">
        <f t="shared" si="4"/>
        <v/>
      </c>
      <c r="AI28" s="229" t="str">
        <f t="shared" si="5"/>
        <v/>
      </c>
      <c r="AJ28" s="232" t="str">
        <f t="shared" si="6"/>
        <v/>
      </c>
      <c r="AK28" s="229" t="str">
        <f t="shared" si="13"/>
        <v/>
      </c>
      <c r="AL28" s="232" t="str">
        <f t="shared" si="7"/>
        <v/>
      </c>
      <c r="AM28" s="361"/>
      <c r="AN28" s="200">
        <v>2</v>
      </c>
      <c r="AO28" s="359"/>
      <c r="AP28" s="363"/>
      <c r="AQ28" s="365"/>
      <c r="AR28" s="334"/>
      <c r="AS28" s="365"/>
      <c r="AT28" s="221"/>
      <c r="AU28" s="221"/>
      <c r="AV28" s="221"/>
      <c r="AW28" s="221"/>
      <c r="AX28" s="221"/>
      <c r="AY28" s="221"/>
      <c r="AZ28" s="336"/>
      <c r="BA28" s="219"/>
      <c r="BB28" s="219"/>
      <c r="BC28" s="329"/>
      <c r="BD28" s="222"/>
      <c r="BE28" s="185"/>
      <c r="BF28" s="185"/>
      <c r="BG28" s="185"/>
      <c r="BH28" s="185"/>
      <c r="BI28" s="185"/>
      <c r="BJ28" s="185"/>
      <c r="BK28" s="185"/>
      <c r="BL28" s="185"/>
      <c r="BM28" s="185"/>
      <c r="BN28" s="185"/>
      <c r="BO28" s="185"/>
      <c r="BP28" s="185"/>
      <c r="BQ28" s="185"/>
      <c r="BR28" s="185"/>
      <c r="BS28" s="185"/>
      <c r="BT28" s="185"/>
      <c r="BU28" s="185"/>
      <c r="BV28" s="185"/>
      <c r="BW28" s="185"/>
      <c r="BX28" s="185"/>
      <c r="BY28" s="185"/>
      <c r="BZ28" s="185"/>
      <c r="CA28" s="185"/>
      <c r="CB28" s="185"/>
      <c r="CC28" s="185"/>
      <c r="CD28" s="185"/>
    </row>
    <row r="29" spans="4:82" s="183" customFormat="1" ht="39.75" hidden="1" customHeight="1">
      <c r="D29" s="374">
        <v>8</v>
      </c>
      <c r="E29" s="354"/>
      <c r="F29" s="354"/>
      <c r="G29" s="356"/>
      <c r="H29" s="354"/>
      <c r="I29" s="358"/>
      <c r="J29" s="358"/>
      <c r="K29" s="358"/>
      <c r="L29" s="348"/>
      <c r="M29" s="366"/>
      <c r="N29" s="366"/>
      <c r="O29" s="348"/>
      <c r="P29" s="350" t="str">
        <f t="shared" si="17"/>
        <v/>
      </c>
      <c r="Q29" s="352" t="str">
        <f t="shared" ref="Q29" si="27">IF(P29="","",IF(P29="Muy Baja",0.2,IF(P29="Baja",0.4,IF(P29="Media",0.6,IF(P29="Alta",0.8,IF(P29="Muy Alta",1,))))))</f>
        <v/>
      </c>
      <c r="R29" s="372"/>
      <c r="S29" s="317" t="str">
        <f>IFERROR(VLOOKUP(R29,Criterios[],2,FALSE),"")</f>
        <v/>
      </c>
      <c r="T29" s="338" t="str">
        <f t="shared" ref="T29" si="28">IF(S29="","",IF(S29="Leve",0.2,IF(S29="Menor",0.4,IF(S29="Moderado",0.6,IF(S29="Mayor",0.8,IF(S29="Catastrófico",1,))))))</f>
        <v/>
      </c>
      <c r="U29" s="317" t="str">
        <f t="shared" ref="U29" si="29">IF(OR(AND(P29="Muy Baja",S29="Leve"),AND(P29="Muy Baja",S29="Menor"),AND(P29="Baja",S29="Leve")),"Bajo",IF(OR(AND(P29="Muy baja",S29="Moderado"),AND(P29="Baja",S29="Menor"),AND(P29="Baja",S29="Moderado"),AND(P29="Media",S29="Leve"),AND(P29="Media",S29="Menor"),AND(P29="Media",S29="Moderado"),AND(P29="Alta",S29="Leve"),AND(P29="Alta",S29="Menor")),"Moderado",IF(OR(AND(P29="Muy Baja",S29="Mayor"),AND(P29="Baja",S29="Mayor"),AND(P29="Media",S29="Mayor"),AND(P29="Alta",S29="Moderado"),AND(P29="Alta",S29="Mayor"),AND(P29="Muy Alta",S29="Leve"),AND(P29="Muy Alta",S29="Menor"),AND(P29="Muy Alta",S29="Moderado"),AND(P29="Muy Alta",S29="Mayor")),"Alto",IF(OR(AND(P29="Muy Baja",S29="Catastrófico"),AND(P29="Baja",S29="Catastrófico"),AND(P29="Media",S29="Catastrófico"),AND(P29="Alta",S29="Catastrófico"),AND(P29="Muy Alta",S29="Catastrófico")),"Extremo",""))))</f>
        <v/>
      </c>
      <c r="V29" s="192">
        <v>1</v>
      </c>
      <c r="W29" s="193"/>
      <c r="X29" s="194"/>
      <c r="Y29" s="227" t="str">
        <f t="shared" si="1"/>
        <v/>
      </c>
      <c r="Z29" s="196"/>
      <c r="AA29" s="196"/>
      <c r="AB29" s="229" t="str">
        <f t="shared" si="2"/>
        <v/>
      </c>
      <c r="AC29" s="196"/>
      <c r="AD29" s="196"/>
      <c r="AE29" s="184"/>
      <c r="AF29" s="215"/>
      <c r="AG29" s="231" t="str">
        <f t="shared" si="3"/>
        <v/>
      </c>
      <c r="AH29" s="232" t="str">
        <f t="shared" si="4"/>
        <v/>
      </c>
      <c r="AI29" s="229" t="str">
        <f t="shared" si="5"/>
        <v/>
      </c>
      <c r="AJ29" s="232" t="str">
        <f t="shared" si="6"/>
        <v/>
      </c>
      <c r="AK29" s="229" t="str">
        <f t="shared" si="13"/>
        <v/>
      </c>
      <c r="AL29" s="232" t="str">
        <f t="shared" si="7"/>
        <v/>
      </c>
      <c r="AM29" s="360" t="s">
        <v>75</v>
      </c>
      <c r="AN29" s="192">
        <v>1</v>
      </c>
      <c r="AO29" s="358"/>
      <c r="AP29" s="362"/>
      <c r="AQ29" s="364"/>
      <c r="AR29" s="333"/>
      <c r="AS29" s="364"/>
      <c r="AT29" s="221"/>
      <c r="AU29" s="221"/>
      <c r="AV29" s="221"/>
      <c r="AW29" s="221"/>
      <c r="AX29" s="221"/>
      <c r="AY29" s="221"/>
      <c r="AZ29" s="336"/>
      <c r="BA29" s="219"/>
      <c r="BB29" s="219"/>
      <c r="BC29" s="329"/>
      <c r="BD29" s="222"/>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row>
    <row r="30" spans="4:82" s="183" customFormat="1" ht="39.75" hidden="1" customHeight="1">
      <c r="D30" s="375"/>
      <c r="E30" s="355"/>
      <c r="F30" s="355"/>
      <c r="G30" s="357"/>
      <c r="H30" s="355"/>
      <c r="I30" s="359"/>
      <c r="J30" s="359"/>
      <c r="K30" s="359"/>
      <c r="L30" s="349"/>
      <c r="M30" s="367"/>
      <c r="N30" s="367"/>
      <c r="O30" s="349"/>
      <c r="P30" s="351"/>
      <c r="Q30" s="353"/>
      <c r="R30" s="373"/>
      <c r="S30" s="318"/>
      <c r="T30" s="339"/>
      <c r="U30" s="318"/>
      <c r="V30" s="200">
        <v>2</v>
      </c>
      <c r="W30" s="193"/>
      <c r="X30" s="194"/>
      <c r="Y30" s="227" t="str">
        <f t="shared" si="1"/>
        <v/>
      </c>
      <c r="Z30" s="196"/>
      <c r="AA30" s="196"/>
      <c r="AB30" s="229" t="str">
        <f t="shared" si="2"/>
        <v/>
      </c>
      <c r="AC30" s="196"/>
      <c r="AD30" s="196"/>
      <c r="AE30" s="184"/>
      <c r="AF30" s="215"/>
      <c r="AG30" s="231" t="str">
        <f t="shared" si="3"/>
        <v/>
      </c>
      <c r="AH30" s="232" t="str">
        <f t="shared" si="4"/>
        <v/>
      </c>
      <c r="AI30" s="229" t="str">
        <f t="shared" si="5"/>
        <v/>
      </c>
      <c r="AJ30" s="232" t="str">
        <f t="shared" si="6"/>
        <v/>
      </c>
      <c r="AK30" s="229" t="str">
        <f t="shared" si="13"/>
        <v/>
      </c>
      <c r="AL30" s="232" t="str">
        <f t="shared" si="7"/>
        <v/>
      </c>
      <c r="AM30" s="361"/>
      <c r="AN30" s="200">
        <v>2</v>
      </c>
      <c r="AO30" s="359"/>
      <c r="AP30" s="363"/>
      <c r="AQ30" s="365"/>
      <c r="AR30" s="334"/>
      <c r="AS30" s="365"/>
      <c r="AT30" s="221"/>
      <c r="AU30" s="221"/>
      <c r="AV30" s="221"/>
      <c r="AW30" s="221"/>
      <c r="AX30" s="221"/>
      <c r="AY30" s="221"/>
      <c r="AZ30" s="336"/>
      <c r="BA30" s="219"/>
      <c r="BB30" s="219"/>
      <c r="BC30" s="329"/>
      <c r="BD30" s="222"/>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row>
    <row r="31" spans="4:82" s="183" customFormat="1" ht="39.75" hidden="1" customHeight="1">
      <c r="D31" s="368">
        <v>9</v>
      </c>
      <c r="E31" s="354"/>
      <c r="F31" s="354"/>
      <c r="G31" s="356"/>
      <c r="H31" s="354"/>
      <c r="I31" s="358"/>
      <c r="J31" s="358"/>
      <c r="K31" s="358"/>
      <c r="L31" s="348"/>
      <c r="M31" s="366"/>
      <c r="N31" s="366"/>
      <c r="O31" s="348"/>
      <c r="P31" s="350" t="str">
        <f t="shared" si="17"/>
        <v/>
      </c>
      <c r="Q31" s="352" t="str">
        <f t="shared" ref="Q31" si="30">IF(P31="","",IF(P31="Muy Baja",0.2,IF(P31="Baja",0.4,IF(P31="Media",0.6,IF(P31="Alta",0.8,IF(P31="Muy Alta",1,))))))</f>
        <v/>
      </c>
      <c r="R31" s="372"/>
      <c r="S31" s="317" t="str">
        <f>IFERROR(VLOOKUP(R31,Criterios[],2,FALSE),"")</f>
        <v/>
      </c>
      <c r="T31" s="338" t="str">
        <f t="shared" ref="T31" si="31">IF(S31="","",IF(S31="Leve",0.2,IF(S31="Menor",0.4,IF(S31="Moderado",0.6,IF(S31="Mayor",0.8,IF(S31="Catastrófico",1,))))))</f>
        <v/>
      </c>
      <c r="U31" s="317" t="str">
        <f t="shared" ref="U31" si="32">IF(OR(AND(P31="Muy Baja",S31="Leve"),AND(P31="Muy Baja",S31="Menor"),AND(P31="Baja",S31="Leve")),"Bajo",IF(OR(AND(P31="Muy baja",S31="Moderado"),AND(P31="Baja",S31="Menor"),AND(P31="Baja",S31="Moderado"),AND(P31="Media",S31="Leve"),AND(P31="Media",S31="Menor"),AND(P31="Media",S31="Moderado"),AND(P31="Alta",S31="Leve"),AND(P31="Alta",S31="Menor")),"Moderado",IF(OR(AND(P31="Muy Baja",S31="Mayor"),AND(P31="Baja",S31="Mayor"),AND(P31="Media",S31="Mayor"),AND(P31="Alta",S31="Moderado"),AND(P31="Alta",S31="Mayor"),AND(P31="Muy Alta",S31="Leve"),AND(P31="Muy Alta",S31="Menor"),AND(P31="Muy Alta",S31="Moderado"),AND(P31="Muy Alta",S31="Mayor")),"Alto",IF(OR(AND(P31="Muy Baja",S31="Catastrófico"),AND(P31="Baja",S31="Catastrófico"),AND(P31="Media",S31="Catastrófico"),AND(P31="Alta",S31="Catastrófico"),AND(P31="Muy Alta",S31="Catastrófico")),"Extremo",""))))</f>
        <v/>
      </c>
      <c r="V31" s="192">
        <v>1</v>
      </c>
      <c r="W31" s="193"/>
      <c r="X31" s="194"/>
      <c r="Y31" s="227" t="str">
        <f t="shared" si="1"/>
        <v/>
      </c>
      <c r="Z31" s="196"/>
      <c r="AA31" s="196"/>
      <c r="AB31" s="229" t="str">
        <f t="shared" si="2"/>
        <v/>
      </c>
      <c r="AC31" s="196"/>
      <c r="AD31" s="196"/>
      <c r="AE31" s="184"/>
      <c r="AF31" s="215"/>
      <c r="AG31" s="231" t="str">
        <f t="shared" si="3"/>
        <v/>
      </c>
      <c r="AH31" s="232" t="str">
        <f t="shared" si="4"/>
        <v/>
      </c>
      <c r="AI31" s="229" t="str">
        <f t="shared" si="5"/>
        <v/>
      </c>
      <c r="AJ31" s="232" t="str">
        <f t="shared" si="6"/>
        <v/>
      </c>
      <c r="AK31" s="229" t="str">
        <f t="shared" si="13"/>
        <v/>
      </c>
      <c r="AL31" s="232" t="str">
        <f t="shared" si="7"/>
        <v/>
      </c>
      <c r="AM31" s="360" t="s">
        <v>75</v>
      </c>
      <c r="AN31" s="192">
        <v>1</v>
      </c>
      <c r="AO31" s="358"/>
      <c r="AP31" s="362"/>
      <c r="AQ31" s="364"/>
      <c r="AR31" s="333"/>
      <c r="AS31" s="364"/>
      <c r="AT31" s="221"/>
      <c r="AU31" s="221"/>
      <c r="AV31" s="221"/>
      <c r="AW31" s="221"/>
      <c r="AX31" s="221"/>
      <c r="AY31" s="221"/>
      <c r="AZ31" s="336"/>
      <c r="BA31" s="219"/>
      <c r="BB31" s="219"/>
      <c r="BC31" s="329"/>
      <c r="BD31" s="222"/>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row>
    <row r="32" spans="4:82" s="183" customFormat="1" ht="39.75" hidden="1" customHeight="1">
      <c r="D32" s="369"/>
      <c r="E32" s="355"/>
      <c r="F32" s="355"/>
      <c r="G32" s="357"/>
      <c r="H32" s="355"/>
      <c r="I32" s="359"/>
      <c r="J32" s="359"/>
      <c r="K32" s="359"/>
      <c r="L32" s="349"/>
      <c r="M32" s="367"/>
      <c r="N32" s="367"/>
      <c r="O32" s="349"/>
      <c r="P32" s="351"/>
      <c r="Q32" s="353"/>
      <c r="R32" s="373"/>
      <c r="S32" s="318"/>
      <c r="T32" s="339"/>
      <c r="U32" s="318"/>
      <c r="V32" s="200">
        <v>2</v>
      </c>
      <c r="W32" s="193"/>
      <c r="X32" s="194"/>
      <c r="Y32" s="227" t="str">
        <f t="shared" si="1"/>
        <v/>
      </c>
      <c r="Z32" s="196"/>
      <c r="AA32" s="196"/>
      <c r="AB32" s="229" t="str">
        <f t="shared" si="2"/>
        <v/>
      </c>
      <c r="AC32" s="196"/>
      <c r="AD32" s="196"/>
      <c r="AE32" s="184"/>
      <c r="AF32" s="217"/>
      <c r="AG32" s="231" t="str">
        <f t="shared" si="3"/>
        <v/>
      </c>
      <c r="AH32" s="232" t="str">
        <f t="shared" si="4"/>
        <v/>
      </c>
      <c r="AI32" s="229"/>
      <c r="AJ32" s="232" t="str">
        <f t="shared" si="6"/>
        <v/>
      </c>
      <c r="AK32" s="229" t="str">
        <f t="shared" si="13"/>
        <v/>
      </c>
      <c r="AL32" s="232" t="str">
        <f t="shared" si="7"/>
        <v/>
      </c>
      <c r="AM32" s="361"/>
      <c r="AN32" s="200">
        <v>2</v>
      </c>
      <c r="AO32" s="359"/>
      <c r="AP32" s="363"/>
      <c r="AQ32" s="365"/>
      <c r="AR32" s="334"/>
      <c r="AS32" s="365"/>
      <c r="AT32" s="221"/>
      <c r="AU32" s="221"/>
      <c r="AV32" s="221"/>
      <c r="AW32" s="221"/>
      <c r="AX32" s="221"/>
      <c r="AY32" s="221"/>
      <c r="AZ32" s="337"/>
      <c r="BA32" s="219"/>
      <c r="BB32" s="219"/>
      <c r="BC32" s="330"/>
      <c r="BD32" s="222"/>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row>
    <row r="33" spans="4:60" ht="49.5" customHeight="1">
      <c r="D33" s="186"/>
      <c r="E33" s="187"/>
      <c r="F33" s="187"/>
      <c r="G33" s="187"/>
      <c r="H33" s="187"/>
      <c r="I33" s="384" t="s">
        <v>76</v>
      </c>
      <c r="J33" s="384"/>
      <c r="K33" s="384"/>
      <c r="L33" s="384"/>
      <c r="M33" s="384"/>
      <c r="N33" s="384"/>
      <c r="O33" s="384"/>
      <c r="P33" s="384"/>
      <c r="Q33" s="384"/>
      <c r="R33" s="384"/>
      <c r="S33" s="384"/>
      <c r="T33" s="384"/>
      <c r="U33" s="384"/>
      <c r="V33" s="384"/>
      <c r="W33" s="384"/>
      <c r="X33" s="384"/>
      <c r="Y33" s="384"/>
      <c r="Z33" s="384"/>
      <c r="AA33" s="384"/>
      <c r="AB33" s="384"/>
      <c r="AC33" s="384"/>
      <c r="AD33" s="384"/>
      <c r="AE33" s="384"/>
      <c r="AF33" s="384"/>
      <c r="AG33" s="384"/>
      <c r="AH33" s="384"/>
      <c r="AI33" s="384"/>
      <c r="AJ33" s="384"/>
      <c r="AK33" s="384"/>
      <c r="AL33" s="384"/>
      <c r="AM33" s="384"/>
      <c r="AN33" s="384"/>
      <c r="AO33" s="384"/>
      <c r="AP33" s="384"/>
      <c r="AQ33" s="384"/>
      <c r="AR33" s="384"/>
      <c r="AS33" s="384"/>
      <c r="AT33" s="384"/>
      <c r="AU33" s="384"/>
      <c r="AV33" s="384"/>
      <c r="AW33" s="384"/>
      <c r="AX33" s="384"/>
      <c r="AY33" s="384"/>
    </row>
    <row r="35" spans="4:60" ht="15.75">
      <c r="D35" s="104"/>
      <c r="E35" s="105"/>
      <c r="F35" s="105"/>
      <c r="G35" s="105"/>
      <c r="H35" s="105"/>
      <c r="I35" s="105"/>
      <c r="J35" s="105"/>
      <c r="K35" s="105"/>
      <c r="L35" s="169"/>
      <c r="M35" s="169"/>
      <c r="N35" s="169"/>
      <c r="P35" s="106"/>
      <c r="Q35" s="105"/>
      <c r="R35" s="105"/>
      <c r="S35" s="105"/>
      <c r="T35" s="105"/>
      <c r="U35" s="105"/>
      <c r="V35" s="105"/>
      <c r="W35" s="105"/>
      <c r="X35" s="105"/>
      <c r="Y35" s="107"/>
      <c r="Z35" s="107"/>
      <c r="AA35" s="105"/>
      <c r="AB35" s="105"/>
      <c r="AC35" s="105"/>
      <c r="AD35" s="105"/>
      <c r="AE35" s="105"/>
      <c r="AF35" s="105"/>
      <c r="AG35" s="105"/>
      <c r="AH35" s="105"/>
      <c r="AI35" s="105"/>
      <c r="AJ35" s="105"/>
      <c r="AK35" s="105"/>
      <c r="AL35" s="105"/>
      <c r="AM35" s="108"/>
      <c r="AN35" s="108"/>
      <c r="AO35" s="108"/>
      <c r="AP35" s="105"/>
      <c r="AQ35" s="105"/>
      <c r="AR35" s="105"/>
      <c r="AS35" s="105"/>
      <c r="AT35" s="105"/>
      <c r="AU35" s="105"/>
      <c r="AV35" s="105"/>
      <c r="AW35" s="105"/>
      <c r="AX35" s="105"/>
      <c r="AY35" s="105"/>
      <c r="AZ35" s="105"/>
      <c r="BA35" s="105"/>
    </row>
    <row r="36" spans="4:60" ht="18">
      <c r="D36" s="380" t="s">
        <v>140</v>
      </c>
      <c r="E36" s="380"/>
      <c r="F36" s="380"/>
      <c r="G36" s="380"/>
      <c r="H36" s="380"/>
      <c r="I36" s="380"/>
      <c r="J36" s="380"/>
      <c r="K36" s="380"/>
      <c r="L36" s="169"/>
      <c r="M36" s="169"/>
      <c r="N36" s="169"/>
      <c r="O36" s="381"/>
      <c r="P36" s="382"/>
      <c r="Q36" s="382"/>
      <c r="R36" s="383"/>
      <c r="S36" s="105"/>
      <c r="T36" s="105"/>
      <c r="U36" s="105"/>
      <c r="V36" s="105"/>
      <c r="W36" s="105"/>
      <c r="X36" s="108"/>
      <c r="Y36" s="107"/>
      <c r="Z36" s="107"/>
      <c r="AA36" s="105"/>
      <c r="AB36" s="107"/>
      <c r="AC36" s="107"/>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H36" s="169" t="s">
        <v>78</v>
      </c>
    </row>
    <row r="37" spans="4:60" ht="15" thickBot="1">
      <c r="D37" s="169"/>
      <c r="E37" s="169"/>
      <c r="F37" s="169"/>
      <c r="G37" s="169"/>
      <c r="H37" s="169"/>
      <c r="I37" s="169"/>
      <c r="J37" s="169"/>
      <c r="L37" s="169"/>
      <c r="M37" s="169"/>
      <c r="N37" s="169"/>
      <c r="P37" s="171" t="str">
        <f>+IFERROR(VLOOKUP(L37,$L$192:$P$196,3,FALSE)*VLOOKUP(O37,$O$192:$P$196,3,FALSE),"")</f>
        <v/>
      </c>
      <c r="Y37" s="171"/>
      <c r="Z37" s="188"/>
      <c r="AB37" s="188"/>
      <c r="AC37" s="188"/>
      <c r="AD37" s="189"/>
      <c r="AE37" s="189"/>
      <c r="AF37" s="189"/>
      <c r="AG37" s="189"/>
      <c r="AH37" s="189"/>
      <c r="AI37" s="109"/>
      <c r="AJ37" s="109"/>
      <c r="AK37" s="189"/>
      <c r="AL37" s="190"/>
      <c r="AQ37" s="189"/>
      <c r="AR37" s="189"/>
      <c r="AY37" s="189"/>
      <c r="AZ37" s="189"/>
      <c r="BH37" s="169" t="s">
        <v>79</v>
      </c>
    </row>
    <row r="38" spans="4:60" ht="17.850000000000001" customHeight="1" thickTop="1" thickBot="1">
      <c r="D38" s="379" t="s">
        <v>80</v>
      </c>
      <c r="E38" s="379"/>
      <c r="F38" s="379"/>
      <c r="G38" s="379"/>
      <c r="H38" s="379"/>
      <c r="I38" s="379"/>
      <c r="J38" s="379"/>
      <c r="K38" s="208" t="s">
        <v>81</v>
      </c>
      <c r="L38" s="379" t="s">
        <v>82</v>
      </c>
      <c r="M38" s="379"/>
      <c r="N38" s="379"/>
      <c r="O38" s="379"/>
      <c r="P38" s="379"/>
      <c r="Q38" s="379"/>
      <c r="R38" s="379"/>
      <c r="S38" s="376" t="s">
        <v>83</v>
      </c>
      <c r="T38" s="376"/>
      <c r="U38" s="376"/>
      <c r="V38" s="379" t="s">
        <v>84</v>
      </c>
      <c r="W38" s="379"/>
      <c r="X38" s="379"/>
      <c r="Y38" s="379"/>
      <c r="Z38" s="376">
        <v>1</v>
      </c>
      <c r="AA38" s="376"/>
      <c r="AB38" s="376"/>
      <c r="AC38" s="376"/>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0"/>
      <c r="BH38" s="169" t="s">
        <v>85</v>
      </c>
    </row>
    <row r="39" spans="4:60" ht="13.5" customHeight="1" thickTop="1">
      <c r="D39" s="377" t="s">
        <v>86</v>
      </c>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BH39" s="169" t="s">
        <v>87</v>
      </c>
    </row>
  </sheetData>
  <protectedRanges>
    <protectedRange sqref="P1:P1048576" name="Rango1_2"/>
  </protectedRanges>
  <mergeCells count="296">
    <mergeCell ref="AN15:AN16"/>
    <mergeCell ref="AT15:AT16"/>
    <mergeCell ref="AN17:AN18"/>
    <mergeCell ref="AN19:AN20"/>
    <mergeCell ref="AS15:AS16"/>
    <mergeCell ref="AS17:AS18"/>
    <mergeCell ref="AS19:AS20"/>
    <mergeCell ref="AS21:AS22"/>
    <mergeCell ref="AS23:AS24"/>
    <mergeCell ref="AR23:AR24"/>
    <mergeCell ref="AR21:AR22"/>
    <mergeCell ref="AO17:AO18"/>
    <mergeCell ref="AO19:AO20"/>
    <mergeCell ref="AP17:AP18"/>
    <mergeCell ref="AP19:AP20"/>
    <mergeCell ref="AQ19:AQ20"/>
    <mergeCell ref="AR19:AR20"/>
    <mergeCell ref="AS25:AS26"/>
    <mergeCell ref="AS27:AS28"/>
    <mergeCell ref="AS29:AS30"/>
    <mergeCell ref="D36:K36"/>
    <mergeCell ref="O36:R36"/>
    <mergeCell ref="AM31:AM32"/>
    <mergeCell ref="AO31:AO32"/>
    <mergeCell ref="AP31:AP32"/>
    <mergeCell ref="AQ31:AQ32"/>
    <mergeCell ref="AR31:AR32"/>
    <mergeCell ref="I33:AY33"/>
    <mergeCell ref="AS31:AS32"/>
    <mergeCell ref="P31:P32"/>
    <mergeCell ref="U31:U32"/>
    <mergeCell ref="J31:J32"/>
    <mergeCell ref="K31:K32"/>
    <mergeCell ref="L31:L32"/>
    <mergeCell ref="M31:M32"/>
    <mergeCell ref="N31:N32"/>
    <mergeCell ref="O31:O32"/>
    <mergeCell ref="AO29:AO30"/>
    <mergeCell ref="P29:P30"/>
    <mergeCell ref="Q29:Q30"/>
    <mergeCell ref="R29:R30"/>
    <mergeCell ref="Z38:AC38"/>
    <mergeCell ref="D39:AC39"/>
    <mergeCell ref="D38:J38"/>
    <mergeCell ref="L38:R38"/>
    <mergeCell ref="S38:U38"/>
    <mergeCell ref="V38:Y38"/>
    <mergeCell ref="U29:U30"/>
    <mergeCell ref="AM29:AM30"/>
    <mergeCell ref="D31:D32"/>
    <mergeCell ref="E31:E32"/>
    <mergeCell ref="F31:F32"/>
    <mergeCell ref="G31:G32"/>
    <mergeCell ref="H31:H32"/>
    <mergeCell ref="I31:I32"/>
    <mergeCell ref="Q31:Q32"/>
    <mergeCell ref="R31:R32"/>
    <mergeCell ref="S31:S32"/>
    <mergeCell ref="T31:T32"/>
    <mergeCell ref="I29:I30"/>
    <mergeCell ref="J29:J30"/>
    <mergeCell ref="K29:K30"/>
    <mergeCell ref="L29:L30"/>
    <mergeCell ref="M29:M30"/>
    <mergeCell ref="N29:N30"/>
    <mergeCell ref="S29:S30"/>
    <mergeCell ref="T29:T30"/>
    <mergeCell ref="AR27:AR28"/>
    <mergeCell ref="D29:D30"/>
    <mergeCell ref="E29:E30"/>
    <mergeCell ref="F29:F30"/>
    <mergeCell ref="G29:G30"/>
    <mergeCell ref="H29:H30"/>
    <mergeCell ref="P27:P28"/>
    <mergeCell ref="Q27:Q28"/>
    <mergeCell ref="R27:R28"/>
    <mergeCell ref="S27:S28"/>
    <mergeCell ref="T27:T28"/>
    <mergeCell ref="U27:U28"/>
    <mergeCell ref="J27:J28"/>
    <mergeCell ref="K27:K28"/>
    <mergeCell ref="L27:L28"/>
    <mergeCell ref="M27:M28"/>
    <mergeCell ref="N27:N28"/>
    <mergeCell ref="O27:O28"/>
    <mergeCell ref="D27:D28"/>
    <mergeCell ref="E27:E28"/>
    <mergeCell ref="AP29:AP30"/>
    <mergeCell ref="AQ29:AQ30"/>
    <mergeCell ref="AR29:AR30"/>
    <mergeCell ref="O29:O30"/>
    <mergeCell ref="F27:F28"/>
    <mergeCell ref="G27:G28"/>
    <mergeCell ref="H27:H28"/>
    <mergeCell ref="I27:I28"/>
    <mergeCell ref="U25:U26"/>
    <mergeCell ref="AM25:AM26"/>
    <mergeCell ref="AO25:AO26"/>
    <mergeCell ref="AP25:AP26"/>
    <mergeCell ref="AQ25:AQ26"/>
    <mergeCell ref="AM27:AM28"/>
    <mergeCell ref="AO27:AO28"/>
    <mergeCell ref="AP27:AP28"/>
    <mergeCell ref="AQ27:AQ28"/>
    <mergeCell ref="R25:R26"/>
    <mergeCell ref="S25:S26"/>
    <mergeCell ref="T25:T26"/>
    <mergeCell ref="I25:I26"/>
    <mergeCell ref="J25:J26"/>
    <mergeCell ref="K25:K26"/>
    <mergeCell ref="L25:L26"/>
    <mergeCell ref="M25:M26"/>
    <mergeCell ref="N25:N26"/>
    <mergeCell ref="D25:D26"/>
    <mergeCell ref="E25:E26"/>
    <mergeCell ref="F25:F26"/>
    <mergeCell ref="G25:G26"/>
    <mergeCell ref="H25:H26"/>
    <mergeCell ref="P23:P24"/>
    <mergeCell ref="Q23:Q24"/>
    <mergeCell ref="R23:R24"/>
    <mergeCell ref="S23:S24"/>
    <mergeCell ref="T23:T24"/>
    <mergeCell ref="U23:U24"/>
    <mergeCell ref="J23:J24"/>
    <mergeCell ref="K23:K24"/>
    <mergeCell ref="L23:L24"/>
    <mergeCell ref="M23:M24"/>
    <mergeCell ref="N23:N24"/>
    <mergeCell ref="O23:O24"/>
    <mergeCell ref="D23:D24"/>
    <mergeCell ref="E23:E24"/>
    <mergeCell ref="AR25:AR26"/>
    <mergeCell ref="O25:O26"/>
    <mergeCell ref="P25:P26"/>
    <mergeCell ref="Q25:Q26"/>
    <mergeCell ref="F23:F24"/>
    <mergeCell ref="G23:G24"/>
    <mergeCell ref="H23:H24"/>
    <mergeCell ref="I23:I24"/>
    <mergeCell ref="U21:U22"/>
    <mergeCell ref="AM21:AM22"/>
    <mergeCell ref="AO21:AO22"/>
    <mergeCell ref="AP21:AP22"/>
    <mergeCell ref="AQ21:AQ22"/>
    <mergeCell ref="AM23:AM24"/>
    <mergeCell ref="AO23:AO24"/>
    <mergeCell ref="AP23:AP24"/>
    <mergeCell ref="AQ23:AQ24"/>
    <mergeCell ref="P21:P22"/>
    <mergeCell ref="Q21:Q22"/>
    <mergeCell ref="R21:R22"/>
    <mergeCell ref="S21:S22"/>
    <mergeCell ref="T21:T22"/>
    <mergeCell ref="I21:I22"/>
    <mergeCell ref="J21:J22"/>
    <mergeCell ref="D21:D22"/>
    <mergeCell ref="E21:E22"/>
    <mergeCell ref="F21:F22"/>
    <mergeCell ref="G21:G22"/>
    <mergeCell ref="H21:H22"/>
    <mergeCell ref="P19:P20"/>
    <mergeCell ref="Q19:Q20"/>
    <mergeCell ref="R19:R20"/>
    <mergeCell ref="S19:S20"/>
    <mergeCell ref="O21:O22"/>
    <mergeCell ref="K21:K22"/>
    <mergeCell ref="L21:L22"/>
    <mergeCell ref="M21:M22"/>
    <mergeCell ref="N21:N22"/>
    <mergeCell ref="J19:J20"/>
    <mergeCell ref="K19:K20"/>
    <mergeCell ref="L19:L20"/>
    <mergeCell ref="M19:M20"/>
    <mergeCell ref="N19:N20"/>
    <mergeCell ref="O19:O20"/>
    <mergeCell ref="D19:D20"/>
    <mergeCell ref="E19:E20"/>
    <mergeCell ref="F19:F20"/>
    <mergeCell ref="G19:G20"/>
    <mergeCell ref="H19:H20"/>
    <mergeCell ref="I19:I20"/>
    <mergeCell ref="S17:S18"/>
    <mergeCell ref="T17:T18"/>
    <mergeCell ref="U17:U18"/>
    <mergeCell ref="AM17:AM18"/>
    <mergeCell ref="AM19:AM20"/>
    <mergeCell ref="M17:M18"/>
    <mergeCell ref="N17:N18"/>
    <mergeCell ref="O17:O18"/>
    <mergeCell ref="P17:P18"/>
    <mergeCell ref="Q17:Q18"/>
    <mergeCell ref="R17:R18"/>
    <mergeCell ref="T19:T20"/>
    <mergeCell ref="U19:U20"/>
    <mergeCell ref="BC15:BC32"/>
    <mergeCell ref="D17:D18"/>
    <mergeCell ref="E17:E18"/>
    <mergeCell ref="F17:F18"/>
    <mergeCell ref="G17:G18"/>
    <mergeCell ref="H17:H18"/>
    <mergeCell ref="I17:I18"/>
    <mergeCell ref="J17:J18"/>
    <mergeCell ref="K17:K18"/>
    <mergeCell ref="L17:L18"/>
    <mergeCell ref="AO15:AO16"/>
    <mergeCell ref="AP15:AP16"/>
    <mergeCell ref="AQ15:AQ16"/>
    <mergeCell ref="AR15:AR16"/>
    <mergeCell ref="AZ15:AZ32"/>
    <mergeCell ref="AQ17:AQ18"/>
    <mergeCell ref="AR17:AR18"/>
    <mergeCell ref="Q15:Q16"/>
    <mergeCell ref="R15:R16"/>
    <mergeCell ref="S15:S16"/>
    <mergeCell ref="T15:T16"/>
    <mergeCell ref="U15:U16"/>
    <mergeCell ref="AM15:AM16"/>
    <mergeCell ref="K15:K16"/>
    <mergeCell ref="L15:L16"/>
    <mergeCell ref="M15:M16"/>
    <mergeCell ref="N15:N16"/>
    <mergeCell ref="O15:O16"/>
    <mergeCell ref="P15:P16"/>
    <mergeCell ref="BB13:BB14"/>
    <mergeCell ref="BC13:BC14"/>
    <mergeCell ref="BD13:BD14"/>
    <mergeCell ref="D15:D16"/>
    <mergeCell ref="E15:E16"/>
    <mergeCell ref="F15:F16"/>
    <mergeCell ref="G15:G16"/>
    <mergeCell ref="H15:H16"/>
    <mergeCell ref="I15:I16"/>
    <mergeCell ref="J15:J16"/>
    <mergeCell ref="AV13:AV14"/>
    <mergeCell ref="AW13:AW14"/>
    <mergeCell ref="AX13:AX14"/>
    <mergeCell ref="AY13:AY14"/>
    <mergeCell ref="AZ13:AZ14"/>
    <mergeCell ref="BA13:BA14"/>
    <mergeCell ref="AP13:AP14"/>
    <mergeCell ref="AQ13:AQ14"/>
    <mergeCell ref="AR13:AR14"/>
    <mergeCell ref="AS13:AS14"/>
    <mergeCell ref="AT13:AT14"/>
    <mergeCell ref="AU13:AU14"/>
    <mergeCell ref="AJ13:AJ14"/>
    <mergeCell ref="AK13:AK14"/>
    <mergeCell ref="AO13:AO14"/>
    <mergeCell ref="X13:X14"/>
    <mergeCell ref="Y13:Y14"/>
    <mergeCell ref="Z13:AE13"/>
    <mergeCell ref="AG13:AG14"/>
    <mergeCell ref="AH13:AH14"/>
    <mergeCell ref="AI13:AI14"/>
    <mergeCell ref="AF12:AF14"/>
    <mergeCell ref="AG12:AM12"/>
    <mergeCell ref="AO12:AR12"/>
    <mergeCell ref="D13:D14"/>
    <mergeCell ref="E13:E14"/>
    <mergeCell ref="F13:F14"/>
    <mergeCell ref="G13:G14"/>
    <mergeCell ref="H13:H14"/>
    <mergeCell ref="I13:I14"/>
    <mergeCell ref="J13:J14"/>
    <mergeCell ref="D9:G9"/>
    <mergeCell ref="H9:BD9"/>
    <mergeCell ref="R13:R14"/>
    <mergeCell ref="S13:S14"/>
    <mergeCell ref="T13:T14"/>
    <mergeCell ref="U13:U14"/>
    <mergeCell ref="V13:V14"/>
    <mergeCell ref="W13:W14"/>
    <mergeCell ref="K13:K14"/>
    <mergeCell ref="L13:L14"/>
    <mergeCell ref="M13:N13"/>
    <mergeCell ref="O13:O14"/>
    <mergeCell ref="P13:P14"/>
    <mergeCell ref="Q13:Q14"/>
    <mergeCell ref="AL13:AL14"/>
    <mergeCell ref="AM13:AM14"/>
    <mergeCell ref="AN13:AN14"/>
    <mergeCell ref="A11:C11"/>
    <mergeCell ref="D11:AR11"/>
    <mergeCell ref="AS11:AY12"/>
    <mergeCell ref="AZ11:BB12"/>
    <mergeCell ref="BC11:BD12"/>
    <mergeCell ref="D12:O12"/>
    <mergeCell ref="P12:U12"/>
    <mergeCell ref="V12:AE12"/>
    <mergeCell ref="D2:H5"/>
    <mergeCell ref="I2:BC5"/>
    <mergeCell ref="D7:G7"/>
    <mergeCell ref="H7:BD7"/>
    <mergeCell ref="D8:G8"/>
    <mergeCell ref="H8:BD8"/>
  </mergeCells>
  <conditionalFormatting sqref="P15 AH15:AH32 P17 P19 P21 P23 P25 P27 P29 P31">
    <cfRule type="cellIs" dxfId="67" priority="15" operator="equal">
      <formula>"Muy Alta"</formula>
    </cfRule>
    <cfRule type="cellIs" dxfId="66" priority="16" operator="equal">
      <formula>"Alta"</formula>
    </cfRule>
    <cfRule type="cellIs" dxfId="65" priority="17" operator="equal">
      <formula>"Media"</formula>
    </cfRule>
    <cfRule type="cellIs" dxfId="64" priority="18" operator="equal">
      <formula>"Baja"</formula>
    </cfRule>
    <cfRule type="cellIs" dxfId="63" priority="19" operator="equal">
      <formula>"Muy Baja"</formula>
    </cfRule>
  </conditionalFormatting>
  <conditionalFormatting sqref="S15 AJ15:AJ32 S17 S19 S21 S23 S25 S27 S29 S31">
    <cfRule type="cellIs" dxfId="62" priority="10" operator="equal">
      <formula>"Catastrófico"</formula>
    </cfRule>
    <cfRule type="cellIs" dxfId="61" priority="11" operator="equal">
      <formula>"Mayor"</formula>
    </cfRule>
    <cfRule type="cellIs" dxfId="60" priority="12" operator="equal">
      <formula>"Moderado"</formula>
    </cfRule>
    <cfRule type="cellIs" dxfId="59" priority="13" operator="equal">
      <formula>"Menor"</formula>
    </cfRule>
    <cfRule type="cellIs" dxfId="58" priority="14" operator="equal">
      <formula>"Leve"</formula>
    </cfRule>
  </conditionalFormatting>
  <conditionalFormatting sqref="U15 AL15:AL32 U17 U19 U21 U23 U25 U27 U29 U31">
    <cfRule type="cellIs" dxfId="57" priority="6" operator="equal">
      <formula>"Extremo"</formula>
    </cfRule>
    <cfRule type="cellIs" dxfId="56" priority="7" operator="equal">
      <formula>"Alto"</formula>
    </cfRule>
    <cfRule type="cellIs" dxfId="55" priority="8" operator="equal">
      <formula>"Moderado"</formula>
    </cfRule>
    <cfRule type="cellIs" dxfId="54" priority="9" operator="equal">
      <formula>"Bajo"</formula>
    </cfRule>
  </conditionalFormatting>
  <conditionalFormatting sqref="AI35:AI37">
    <cfRule type="cellIs" dxfId="53" priority="2" operator="equal">
      <formula>#REF!</formula>
    </cfRule>
    <cfRule type="cellIs" dxfId="52" priority="3" operator="equal">
      <formula>#REF!</formula>
    </cfRule>
  </conditionalFormatting>
  <conditionalFormatting sqref="AI35:AJ37">
    <cfRule type="cellIs" dxfId="51" priority="1" stopIfTrue="1" operator="equal">
      <formula>#REF!</formula>
    </cfRule>
  </conditionalFormatting>
  <conditionalFormatting sqref="AJ35:AJ37">
    <cfRule type="cellIs" dxfId="50" priority="4" stopIfTrue="1" operator="equal">
      <formula>#REF!</formula>
    </cfRule>
    <cfRule type="cellIs" dxfId="49" priority="5" stopIfTrue="1" operator="equal">
      <formula>#REF!</formula>
    </cfRule>
  </conditionalFormatting>
  <dataValidations count="10">
    <dataValidation type="list" allowBlank="1" showInputMessage="1" showErrorMessage="1" sqref="K35" xr:uid="{3EF09140-8D51-4D33-8FDB-36C2F2D745F1}">
      <formula1>$K$192:$K$201</formula1>
    </dataValidation>
    <dataValidation type="list" allowBlank="1" showInputMessage="1" showErrorMessage="1" sqref="K37 AI37:AJ37" xr:uid="{E9BD7DD4-DFAC-460A-AA46-FA3DE3185684}">
      <formula1>#REF!</formula1>
    </dataValidation>
    <dataValidation type="list" allowBlank="1" showInputMessage="1" showErrorMessage="1" sqref="Y37" xr:uid="{91006AA6-AC04-4E5D-86EF-8F4A02CDCC4B}">
      <formula1>$R$192:$R$193</formula1>
    </dataValidation>
    <dataValidation type="list" allowBlank="1" showInputMessage="1" showErrorMessage="1" sqref="O37" xr:uid="{DE7134F6-9056-4D78-8B58-AD0E8A7F4084}">
      <formula1>$O$192:$O$196</formula1>
    </dataValidation>
    <dataValidation type="list" allowBlank="1" showInputMessage="1" showErrorMessage="1" sqref="L37:N37" xr:uid="{414230C9-6121-4DC9-B2AB-F7F07EA295C1}">
      <formula1>$L$192:$L$196</formula1>
    </dataValidation>
    <dataValidation type="list" allowBlank="1" showInputMessage="1" showErrorMessage="1" sqref="AB37:AH37 Z37 AQ37:AR37 AY37:AZ37" xr:uid="{66226723-9B66-4956-9B4A-CCF70185137A}">
      <formula1>$AQ$192:$AQ$199</formula1>
    </dataValidation>
    <dataValidation type="list" allowBlank="1" showInputMessage="1" showErrorMessage="1" error="Recuerde que las acciones se generan bajo la medida de mitigar el riesgo" sqref="AY15:AY20" xr:uid="{DB3161F6-8082-46F4-9BEF-09F889FE2F85}">
      <formula1>$BH$36:$BH$39</formula1>
    </dataValidation>
    <dataValidation type="custom" allowBlank="1" showInputMessage="1" showErrorMessage="1" error="Recuerde que las acciones se generan bajo la medida de mitigar el riesgo" sqref="AP15 AP31 AP29 AP27 AP25 AP23 AP21 AP17:AQ17 AP19" xr:uid="{C01CE33C-11DB-42D4-A8DC-A96C8B7E83C4}"/>
    <dataValidation type="list" allowBlank="1" showInputMessage="1" showErrorMessage="1" sqref="R15:R32" xr:uid="{B39AA644-A9B7-46F4-A9DC-08551167D3D3}">
      <formula1>Criterios_Impacto</formula1>
    </dataValidation>
    <dataValidation allowBlank="1" showInputMessage="1" sqref="AR17:AR32" xr:uid="{57BBCB36-00E4-45CF-AD41-F069BB1AC217}"/>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4">
        <x14:dataValidation type="custom" allowBlank="1" showInputMessage="1" showErrorMessage="1" error="Recuerde que las acciones se generan bajo la medida de mitigar el riesgo" xr:uid="{790CE500-C6F8-447A-A8D3-A6C9EA0F9603}">
          <x14:formula1>
            <xm:f>IF(OR(AQ17='Opciones Tratamiento'!$B$2,AQ17='Opciones Tratamiento'!$B$3,AQ17='Opciones Tratamiento'!$B$4),ISBLANK(AQ17),ISTEXT(AQ17))</xm:f>
          </x14:formula1>
          <xm:sqref>AV17:AX32</xm:sqref>
        </x14:dataValidation>
        <x14:dataValidation type="custom" allowBlank="1" showInputMessage="1" showErrorMessage="1" error="Recuerde que las acciones se generan bajo la medida de mitigar el riesgo" xr:uid="{B8A4AA2F-EDF2-4CEE-B2C3-6D7D983B776F}">
          <x14:formula1>
            <xm:f>IF(OR(AP16='Opciones Tratamiento'!$B$2,AP16='Opciones Tratamiento'!$B$3,AP16='Opciones Tratamiento'!$B$4),ISBLANK(AP16),ISTEXT(AP16))</xm:f>
          </x14:formula1>
          <xm:sqref>AU18 AU16 AU15:AX15 AU32 AU30 AU28 AU26 AU24 AU22 AU20</xm:sqref>
        </x14:dataValidation>
        <x14:dataValidation type="list" allowBlank="1" showInputMessage="1" showErrorMessage="1" xr:uid="{1BD2E147-04A1-4B92-AB22-5EB20B946276}">
          <x14:formula1>
            <xm:f>'Opciones Tratamiento'!$B$9:$B$10</xm:f>
          </x14:formula1>
          <xm:sqref>BB21:BB32</xm:sqref>
        </x14:dataValidation>
        <x14:dataValidation type="list" allowBlank="1" showInputMessage="1" showErrorMessage="1" xr:uid="{D8DD7DB2-6FD3-4146-9E33-C52A1F17D1FC}">
          <x14:formula1>
            <xm:f>'Opciones Tratamiento'!$B$13:$B$19</xm:f>
          </x14:formula1>
          <xm:sqref>L17:L32 L15</xm:sqref>
        </x14:dataValidation>
        <x14:dataValidation type="list" allowBlank="1" showInputMessage="1" showErrorMessage="1" xr:uid="{9E51C024-D2D6-4512-A488-0B77E74A64D5}">
          <x14:formula1>
            <xm:f>'Opciones Tratamiento'!$B$2:$B$5</xm:f>
          </x14:formula1>
          <xm:sqref>AM27 AM25 AM23 AM15 AM19 AM17 AM31 AM29 AM21</xm:sqref>
        </x14:dataValidation>
        <x14:dataValidation type="custom" allowBlank="1" showInputMessage="1" showErrorMessage="1" error="Recuerde que las acciones se generan bajo la medida de mitigar el riesgo" xr:uid="{F307A1D9-4EC2-46A5-A98D-A4631CAF3D65}">
          <x14:formula1>
            <xm:f>IF(OR(AM21='Opciones Tratamiento'!$B$2,AM21='Opciones Tratamiento'!$B$3,AM21='Opciones Tratamiento'!$B$4),ISBLANK(AM21),ISTEXT(AM21))</xm:f>
          </x14:formula1>
          <xm:sqref>AY21:AY32</xm:sqref>
        </x14:dataValidation>
        <x14:dataValidation type="list" allowBlank="1" showInputMessage="1" showErrorMessage="1" xr:uid="{3533E31B-2EBA-4E59-B249-4D5DF573AF3E}">
          <x14:formula1>
            <xm:f>Listas!$B$2:$B$7</xm:f>
          </x14:formula1>
          <xm:sqref>H15 H17:H32</xm:sqref>
        </x14:dataValidation>
        <x14:dataValidation type="list" allowBlank="1" showInputMessage="1" showErrorMessage="1" xr:uid="{FA744953-97D2-4CDC-A931-BB0F1A826BC5}">
          <x14:formula1>
            <xm:f>Listas!$C$2:$C$6</xm:f>
          </x14:formula1>
          <xm:sqref>M17:M32 M15</xm:sqref>
        </x14:dataValidation>
        <x14:dataValidation type="list" allowBlank="1" showInputMessage="1" showErrorMessage="1" xr:uid="{81B7615F-7BFE-4635-BF64-5A6CC4DB6612}">
          <x14:formula1>
            <xm:f>Listas!$D$2:$D$5</xm:f>
          </x14:formula1>
          <xm:sqref>N17:N32 N15</xm:sqref>
        </x14:dataValidation>
        <x14:dataValidation type="list" allowBlank="1" showInputMessage="1" showErrorMessage="1" xr:uid="{20EF12F6-710E-4843-8A91-076242D830C2}">
          <x14:formula1>
            <xm:f>Formulas!$B$3:$B$18</xm:f>
          </x14:formula1>
          <xm:sqref>E17:E32</xm:sqref>
        </x14:dataValidation>
        <x14:dataValidation type="list" allowBlank="1" showInputMessage="1" showErrorMessage="1" xr:uid="{F84476FF-C1FE-4F29-B308-34F4A896235E}">
          <x14:formula1>
            <xm:f>Formulas!$E$3:$E$23</xm:f>
          </x14:formula1>
          <xm:sqref>G17:G32</xm:sqref>
        </x14:dataValidation>
        <x14:dataValidation type="custom" allowBlank="1" showInputMessage="1" showErrorMessage="1" error="Recuerde que las acciones se generan bajo la medida de mitigar el riesgo" xr:uid="{EF9F4501-5BE5-41D2-9821-286237E75BE7}">
          <x14:formula1>
            <xm:f>IF(OR(AM16='Opciones Tratamiento'!$B$2,AM16='Opciones Tratamiento'!$B$3,AM16='Opciones Tratamiento'!$B$4),ISBLANK(AM16),ISTEXT(AM16))</xm:f>
          </x14:formula1>
          <xm:sqref>AS31 AS29 AS15 AS27 AS23 AS25 AS21 AS17 AS19</xm:sqref>
        </x14:dataValidation>
        <x14:dataValidation type="list" allowBlank="1" showInputMessage="1" showErrorMessage="1" xr:uid="{A515D4D3-1BB1-4554-A7C0-B10F6243B267}">
          <x14:formula1>
            <xm:f>'Tabla Valoración controles'!$D$4:$D$6</xm:f>
          </x14:formula1>
          <xm:sqref>Z15:Z32</xm:sqref>
        </x14:dataValidation>
        <x14:dataValidation type="list" allowBlank="1" showInputMessage="1" showErrorMessage="1" xr:uid="{8859B36B-41BB-4F72-9BE7-9A3160835022}">
          <x14:formula1>
            <xm:f>'Tabla Valoración controles'!$D$7:$D$8</xm:f>
          </x14:formula1>
          <xm:sqref>AA15:AA32</xm:sqref>
        </x14:dataValidation>
        <x14:dataValidation type="list" allowBlank="1" showInputMessage="1" showErrorMessage="1" xr:uid="{4F8A5233-1980-4486-9905-F23F955605F5}">
          <x14:formula1>
            <xm:f>'Tabla Valoración controles'!$D$9:$D$10</xm:f>
          </x14:formula1>
          <xm:sqref>AC15:AC32</xm:sqref>
        </x14:dataValidation>
        <x14:dataValidation type="list" allowBlank="1" showInputMessage="1" showErrorMessage="1" xr:uid="{4CBB904D-A83B-44A4-90CE-F3C427AD09F3}">
          <x14:formula1>
            <xm:f>'Tabla Valoración controles'!$D$11:$D$12</xm:f>
          </x14:formula1>
          <xm:sqref>AD15:AD32</xm:sqref>
        </x14:dataValidation>
        <x14:dataValidation type="list" allowBlank="1" showInputMessage="1" showErrorMessage="1" xr:uid="{F1442F8F-B78B-449E-B473-2F2FD87CEBB6}">
          <x14:formula1>
            <xm:f>'Tabla Valoración controles'!$D$13:$D$14</xm:f>
          </x14:formula1>
          <xm:sqref>AE15:AE32</xm:sqref>
        </x14:dataValidation>
        <x14:dataValidation type="custom" allowBlank="1" showInputMessage="1" showErrorMessage="1" error="Recuerde que las acciones se generan bajo la medida de mitigar el riesgo" xr:uid="{28A366D0-4C8D-4DB8-9384-608440B36753}">
          <x14:formula1>
            <xm:f>IF(OR(#REF!='Opciones Tratamiento'!$B$2,#REF!='Opciones Tratamiento'!$B$3,#REF!='Opciones Tratamiento'!$B$4),ISBLANK(#REF!),ISTEXT(#REF!))</xm:f>
          </x14:formula1>
          <xm:sqref>BD15:BD32 BC15</xm:sqref>
        </x14:dataValidation>
        <x14:dataValidation type="custom" allowBlank="1" showInputMessage="1" showErrorMessage="1" error="Recuerde que las acciones se generan bajo la medida de mitigar el riesgo" xr:uid="{0D23DA92-2835-4607-BFA6-B1C97445A297}">
          <x14:formula1>
            <xm:f>IF(OR(AQ21='Opciones Tratamiento'!$B$2,AQ21='Opciones Tratamiento'!$B$3,AQ21='Opciones Tratamiento'!$B$4),ISBLANK(AQ21),ISTEXT(AQ21))</xm:f>
          </x14:formula1>
          <xm:sqref>BA21:BA32</xm:sqref>
        </x14:dataValidation>
        <x14:dataValidation type="list" allowBlank="1" showInputMessage="1" showErrorMessage="1" xr:uid="{177B00BE-0ECA-4903-BF48-A21B2B9B9B4F}">
          <x14:formula1>
            <xm:f>Formulas!$B$3:$B$6</xm:f>
          </x14:formula1>
          <xm:sqref>E15:E16</xm:sqref>
        </x14:dataValidation>
        <x14:dataValidation type="list" allowBlank="1" showInputMessage="1" showErrorMessage="1" xr:uid="{991ED768-0FE6-4750-90FC-99B6FD3F995F}">
          <x14:formula1>
            <xm:f>Formulas!$D$3:$D$6</xm:f>
          </x14:formula1>
          <xm:sqref>F15:F32</xm:sqref>
        </x14:dataValidation>
        <x14:dataValidation type="list" allowBlank="1" showInputMessage="1" showErrorMessage="1" xr:uid="{01BB545C-2445-4111-B0AA-24FCCF270F75}">
          <x14:formula1>
            <xm:f>Formulas!$E$3:$E$5</xm:f>
          </x14:formula1>
          <xm:sqref>G15:G16</xm:sqref>
        </x14:dataValidation>
        <x14:dataValidation type="custom" allowBlank="1" showInputMessage="1" showErrorMessage="1" error="Recuerde que las acciones se generan bajo la medida de mitigar el riesgo" xr:uid="{2EE981BA-DB99-470A-A0DE-3183365D24A6}">
          <x14:formula1>
            <xm:f>IF(OR(AM16='Opciones Tratamiento'!$B$2,AM16='Opciones Tratamiento'!$B$3,AM16='Opciones Tratamiento'!$B$4),ISBLANK(AM16),ISTEXT(AM16))</xm:f>
          </x14:formula1>
          <xm:sqref>AQ31 AQ29 AQ27 AQ25 AQ23 AQ19 AQ21 AU21 AQ15:AR15 AU19 AU17 AU31 AU29 AU27 AU25 AU23</xm:sqref>
        </x14:dataValidation>
        <x14:dataValidation type="list" allowBlank="1" showInputMessage="1" showErrorMessage="1" error="Recuerde que las acciones se generan bajo la medida de mitigar el riesgo" xr:uid="{9F3A2BEC-E15B-4ACB-BE42-F0036F0CD1B4}">
          <x14:formula1>
            <xm:f>Formulas!$H$3:$H$4</xm:f>
          </x14:formula1>
          <xm:sqref>AT15 AT17:AT32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defaultColWidth="11.42578125" defaultRowHeight="15"/>
  <cols>
    <col min="1" max="1" width="129.7109375" bestFit="1" customWidth="1"/>
  </cols>
  <sheetData>
    <row r="1" spans="1:2">
      <c r="A1" t="s">
        <v>196</v>
      </c>
      <c r="B1" t="s">
        <v>72</v>
      </c>
    </row>
    <row r="2" spans="1:2">
      <c r="A2" t="s">
        <v>197</v>
      </c>
      <c r="B2" t="s">
        <v>198</v>
      </c>
    </row>
    <row r="3" spans="1:2">
      <c r="A3" t="s">
        <v>199</v>
      </c>
      <c r="B3" t="s">
        <v>200</v>
      </c>
    </row>
    <row r="4" spans="1:2">
      <c r="A4" t="s">
        <v>201</v>
      </c>
      <c r="B4" t="s">
        <v>202</v>
      </c>
    </row>
    <row r="5" spans="1:2">
      <c r="A5" t="s">
        <v>203</v>
      </c>
      <c r="B5" t="s">
        <v>204</v>
      </c>
    </row>
    <row r="6" spans="1:2">
      <c r="A6" t="s">
        <v>205</v>
      </c>
      <c r="B6" t="s">
        <v>206</v>
      </c>
    </row>
    <row r="7" spans="1:2">
      <c r="A7" t="s">
        <v>207</v>
      </c>
      <c r="B7" t="s">
        <v>198</v>
      </c>
    </row>
    <row r="8" spans="1:2">
      <c r="A8" t="s">
        <v>208</v>
      </c>
      <c r="B8" t="s">
        <v>200</v>
      </c>
    </row>
    <row r="9" spans="1:2">
      <c r="A9" t="s">
        <v>101</v>
      </c>
      <c r="B9" t="s">
        <v>202</v>
      </c>
    </row>
    <row r="10" spans="1:2">
      <c r="A10" t="s">
        <v>178</v>
      </c>
      <c r="B10" t="s">
        <v>204</v>
      </c>
    </row>
    <row r="11" spans="1:2">
      <c r="A11" t="s">
        <v>171</v>
      </c>
      <c r="B11" t="s">
        <v>206</v>
      </c>
    </row>
    <row r="12" spans="1:2">
      <c r="A12" t="s">
        <v>209</v>
      </c>
      <c r="B12" t="s">
        <v>202</v>
      </c>
    </row>
    <row r="13" spans="1:2">
      <c r="A13" t="s">
        <v>210</v>
      </c>
      <c r="B13" t="s">
        <v>204</v>
      </c>
    </row>
    <row r="14" spans="1:2">
      <c r="A14" t="s">
        <v>211</v>
      </c>
      <c r="B14" t="s">
        <v>206</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defaultColWidth="11.42578125" defaultRowHeight="15"/>
  <cols>
    <col min="1" max="1" width="4" customWidth="1"/>
    <col min="2" max="3" width="31.28515625" customWidth="1"/>
    <col min="4" max="4" width="30.42578125" customWidth="1"/>
    <col min="5" max="5" width="24.42578125" customWidth="1"/>
    <col min="6" max="6" width="22.7109375" customWidth="1"/>
    <col min="7" max="7" width="37" customWidth="1"/>
    <col min="8" max="8" width="21.28515625" customWidth="1"/>
    <col min="9" max="9" width="13.7109375" customWidth="1"/>
    <col min="10" max="10" width="17.28515625" customWidth="1"/>
    <col min="13" max="13" width="15.7109375" customWidth="1"/>
    <col min="14" max="14" width="14.7109375" customWidth="1"/>
    <col min="17" max="17" width="24.7109375" customWidth="1"/>
    <col min="18" max="18" width="29.42578125" customWidth="1"/>
  </cols>
  <sheetData>
    <row r="1" spans="2:18">
      <c r="B1" s="441" t="s">
        <v>20</v>
      </c>
      <c r="C1" s="441"/>
      <c r="D1" s="441"/>
      <c r="E1" s="441"/>
      <c r="F1" s="441"/>
      <c r="G1" s="441"/>
      <c r="H1" s="441"/>
      <c r="I1" s="441"/>
      <c r="J1" s="441"/>
      <c r="L1" s="441" t="s">
        <v>22</v>
      </c>
      <c r="M1" s="441"/>
      <c r="N1" s="441"/>
      <c r="O1" s="441"/>
      <c r="P1" s="441"/>
      <c r="Q1" s="441"/>
      <c r="R1" s="441"/>
    </row>
    <row r="2" spans="2:18" ht="50.25" customHeight="1">
      <c r="B2" s="167" t="s">
        <v>212</v>
      </c>
      <c r="C2" s="167" t="s">
        <v>213</v>
      </c>
      <c r="D2" s="166" t="s">
        <v>28</v>
      </c>
      <c r="E2" s="166" t="s">
        <v>214</v>
      </c>
      <c r="F2" s="166" t="s">
        <v>215</v>
      </c>
      <c r="G2" s="167" t="s">
        <v>216</v>
      </c>
      <c r="H2" s="167" t="s">
        <v>217</v>
      </c>
      <c r="I2" s="167" t="s">
        <v>218</v>
      </c>
      <c r="J2" s="166" t="s">
        <v>219</v>
      </c>
      <c r="L2" s="165" t="s">
        <v>70</v>
      </c>
      <c r="M2" s="165" t="s">
        <v>71</v>
      </c>
      <c r="N2" s="165" t="s">
        <v>23</v>
      </c>
      <c r="O2" s="165" t="s">
        <v>73</v>
      </c>
      <c r="P2" s="165" t="s">
        <v>74</v>
      </c>
      <c r="Q2" s="165" t="s">
        <v>51</v>
      </c>
      <c r="R2" s="168" t="s">
        <v>220</v>
      </c>
    </row>
    <row r="3" spans="2:18" ht="25.5">
      <c r="B3" s="18" t="s">
        <v>92</v>
      </c>
      <c r="C3" s="18" t="s">
        <v>221</v>
      </c>
      <c r="D3" s="111" t="s">
        <v>222</v>
      </c>
      <c r="E3" s="111" t="s">
        <v>223</v>
      </c>
      <c r="F3" t="s">
        <v>224</v>
      </c>
      <c r="G3" s="111" t="s">
        <v>225</v>
      </c>
      <c r="H3" t="s">
        <v>113</v>
      </c>
      <c r="I3" t="s">
        <v>226</v>
      </c>
      <c r="J3" t="s">
        <v>227</v>
      </c>
      <c r="L3" s="2" t="s">
        <v>104</v>
      </c>
      <c r="M3" s="2" t="s">
        <v>228</v>
      </c>
      <c r="N3" s="2" t="s">
        <v>106</v>
      </c>
      <c r="O3" s="2" t="s">
        <v>107</v>
      </c>
      <c r="P3" s="2" t="s">
        <v>229</v>
      </c>
      <c r="Q3" s="2" t="s">
        <v>230</v>
      </c>
      <c r="R3" t="s">
        <v>231</v>
      </c>
    </row>
    <row r="4" spans="2:18" ht="31.5" customHeight="1">
      <c r="B4" s="18" t="s">
        <v>232</v>
      </c>
      <c r="C4" s="18" t="s">
        <v>233</v>
      </c>
      <c r="D4" s="111" t="s">
        <v>93</v>
      </c>
      <c r="E4" s="111" t="s">
        <v>234</v>
      </c>
      <c r="F4" t="s">
        <v>235</v>
      </c>
      <c r="G4" s="111" t="s">
        <v>98</v>
      </c>
      <c r="H4" t="s">
        <v>236</v>
      </c>
      <c r="I4" t="s">
        <v>237</v>
      </c>
      <c r="J4" t="s">
        <v>132</v>
      </c>
      <c r="L4" s="2" t="s">
        <v>238</v>
      </c>
      <c r="M4" s="2" t="s">
        <v>105</v>
      </c>
      <c r="N4" s="2" t="s">
        <v>239</v>
      </c>
      <c r="O4" s="2" t="s">
        <v>240</v>
      </c>
      <c r="P4" s="2" t="s">
        <v>241</v>
      </c>
      <c r="Q4" s="2" t="s">
        <v>242</v>
      </c>
      <c r="R4" t="s">
        <v>243</v>
      </c>
    </row>
    <row r="5" spans="2:18" ht="26.25" customHeight="1">
      <c r="B5" s="18" t="s">
        <v>244</v>
      </c>
      <c r="C5" s="18" t="s">
        <v>245</v>
      </c>
      <c r="D5" s="111" t="s">
        <v>141</v>
      </c>
      <c r="E5" s="111" t="s">
        <v>246</v>
      </c>
      <c r="F5" t="s">
        <v>247</v>
      </c>
      <c r="G5" s="111" t="s">
        <v>248</v>
      </c>
      <c r="I5" t="s">
        <v>249</v>
      </c>
      <c r="J5" t="s">
        <v>100</v>
      </c>
      <c r="L5" s="2" t="s">
        <v>250</v>
      </c>
      <c r="P5" s="2" t="s">
        <v>251</v>
      </c>
      <c r="Q5" s="2" t="s">
        <v>252</v>
      </c>
    </row>
    <row r="6" spans="2:18" ht="24.75" customHeight="1">
      <c r="B6" s="18" t="s">
        <v>35</v>
      </c>
      <c r="C6" s="18" t="s">
        <v>253</v>
      </c>
      <c r="D6" s="111"/>
      <c r="F6" t="s">
        <v>94</v>
      </c>
      <c r="G6" s="111" t="s">
        <v>254</v>
      </c>
      <c r="I6" t="s">
        <v>255</v>
      </c>
      <c r="J6" t="s">
        <v>256</v>
      </c>
      <c r="Q6" s="2" t="s">
        <v>75</v>
      </c>
    </row>
    <row r="7" spans="2:18" ht="26.25" customHeight="1">
      <c r="B7" s="18"/>
      <c r="C7" s="18" t="s">
        <v>257</v>
      </c>
      <c r="D7" s="111"/>
      <c r="F7" t="s">
        <v>151</v>
      </c>
      <c r="G7" s="111" t="s">
        <v>258</v>
      </c>
      <c r="I7" t="s">
        <v>259</v>
      </c>
      <c r="Q7" s="2" t="s">
        <v>260</v>
      </c>
    </row>
    <row r="8" spans="2:18" ht="30">
      <c r="B8" s="18"/>
      <c r="C8" s="18"/>
      <c r="D8" s="111"/>
      <c r="F8" t="s">
        <v>261</v>
      </c>
      <c r="G8" s="111" t="s">
        <v>262</v>
      </c>
      <c r="I8" s="111" t="s">
        <v>263</v>
      </c>
    </row>
    <row r="9" spans="2:18" ht="31.5" customHeight="1">
      <c r="B9" s="18"/>
      <c r="C9" s="18"/>
      <c r="D9" s="111"/>
      <c r="G9" s="111" t="s">
        <v>120</v>
      </c>
      <c r="I9" t="s">
        <v>264</v>
      </c>
    </row>
    <row r="10" spans="2:18">
      <c r="B10" s="18"/>
      <c r="C10" s="18"/>
      <c r="D10" s="111"/>
      <c r="I10" t="s">
        <v>265</v>
      </c>
    </row>
    <row r="11" spans="2:18">
      <c r="B11" s="18"/>
      <c r="C11" s="18"/>
      <c r="D11" s="111"/>
    </row>
    <row r="12" spans="2:18">
      <c r="B12" s="18"/>
      <c r="C12" s="18"/>
      <c r="I12" t="s">
        <v>265</v>
      </c>
    </row>
    <row r="13" spans="2:18">
      <c r="B13" s="18"/>
      <c r="C13" s="18"/>
    </row>
  </sheetData>
  <mergeCells count="2">
    <mergeCell ref="B1:J1"/>
    <mergeCell ref="L1:R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FB355-BE07-4A3F-9ADE-E3DD00F40397}">
  <dimension ref="A1:CD39"/>
  <sheetViews>
    <sheetView tabSelected="1" topLeftCell="AK1" zoomScale="91" zoomScaleNormal="91" workbookViewId="0">
      <selection activeCell="AP18" sqref="AP18"/>
    </sheetView>
  </sheetViews>
  <sheetFormatPr defaultColWidth="11.42578125" defaultRowHeight="14.25"/>
  <cols>
    <col min="1" max="1" width="0" style="169" hidden="1" customWidth="1"/>
    <col min="2" max="2" width="4.42578125" style="169" customWidth="1"/>
    <col min="3" max="3" width="6.28515625" style="169" customWidth="1"/>
    <col min="4" max="4" width="4.7109375" style="170" customWidth="1"/>
    <col min="5" max="5" width="21" style="170" customWidth="1"/>
    <col min="6" max="7" width="20.7109375" style="170" customWidth="1"/>
    <col min="8" max="8" width="18.28515625" style="170" customWidth="1"/>
    <col min="9" max="9" width="31" style="170" customWidth="1"/>
    <col min="10" max="10" width="53.7109375" style="170" customWidth="1"/>
    <col min="11" max="11" width="58.28515625" style="169" customWidth="1"/>
    <col min="12" max="12" width="25.42578125" style="171" customWidth="1"/>
    <col min="13" max="13" width="31.85546875" style="171" customWidth="1"/>
    <col min="14" max="14" width="23.85546875" style="171" customWidth="1"/>
    <col min="15" max="15" width="19.5703125" style="169" customWidth="1"/>
    <col min="16" max="16" width="16.42578125" style="169" customWidth="1"/>
    <col min="17" max="17" width="8.85546875" style="169" customWidth="1"/>
    <col min="18" max="18" width="57.28515625" style="169" customWidth="1"/>
    <col min="19" max="19" width="17.42578125" style="169" customWidth="1"/>
    <col min="20" max="20" width="10.42578125" style="169" customWidth="1"/>
    <col min="21" max="21" width="16" style="169" customWidth="1"/>
    <col min="22" max="22" width="5.7109375" style="169" customWidth="1"/>
    <col min="23" max="23" width="63.42578125" style="169" customWidth="1"/>
    <col min="24" max="24" width="57.28515625" style="169" customWidth="1"/>
    <col min="25" max="25" width="15.28515625" style="169" customWidth="1"/>
    <col min="26" max="26" width="6.7109375" style="169" customWidth="1"/>
    <col min="27" max="27" width="5" style="169" customWidth="1"/>
    <col min="28" max="28" width="5.42578125" style="169" customWidth="1"/>
    <col min="29" max="29" width="7.28515625" style="169" customWidth="1"/>
    <col min="30" max="30" width="6.7109375" style="169" customWidth="1"/>
    <col min="31" max="31" width="8.28515625" style="169" customWidth="1"/>
    <col min="32" max="32" width="27" style="169" customWidth="1"/>
    <col min="33" max="33" width="13.7109375" style="169" customWidth="1"/>
    <col min="34" max="38" width="16.140625" style="169" customWidth="1"/>
    <col min="39" max="40" width="7.28515625" style="169" customWidth="1"/>
    <col min="41" max="41" width="46.42578125" style="169" customWidth="1"/>
    <col min="42" max="42" width="24.28515625" style="169" customWidth="1"/>
    <col min="43" max="44" width="23.140625" style="169" customWidth="1"/>
    <col min="45" max="46" width="19.7109375" style="169" customWidth="1"/>
    <col min="47" max="47" width="35.42578125" style="169" customWidth="1"/>
    <col min="48" max="50" width="34.7109375" style="169" customWidth="1"/>
    <col min="51" max="51" width="29" style="169" customWidth="1"/>
    <col min="52" max="52" width="23.28515625" style="169" customWidth="1"/>
    <col min="53" max="53" width="68.42578125" style="169" customWidth="1"/>
    <col min="54" max="54" width="31.42578125" style="169" customWidth="1"/>
    <col min="55" max="55" width="30.42578125" style="169" customWidth="1"/>
    <col min="56" max="56" width="53" style="169" customWidth="1"/>
    <col min="57" max="59" width="0" style="169" hidden="1" customWidth="1"/>
    <col min="60" max="61" width="11.42578125" style="169" hidden="1" customWidth="1"/>
    <col min="62" max="63" width="0" style="169" hidden="1" customWidth="1"/>
    <col min="64" max="16384" width="11.42578125" style="169"/>
  </cols>
  <sheetData>
    <row r="1" spans="1:82" ht="15" thickBot="1"/>
    <row r="2" spans="1:82" ht="27.75" customHeight="1">
      <c r="D2" s="281" t="s">
        <v>7</v>
      </c>
      <c r="E2" s="282"/>
      <c r="F2" s="282"/>
      <c r="G2" s="282"/>
      <c r="H2" s="283"/>
      <c r="I2" s="290" t="s">
        <v>8</v>
      </c>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13" t="s">
        <v>9</v>
      </c>
    </row>
    <row r="3" spans="1:82" ht="27.75" customHeight="1">
      <c r="D3" s="284"/>
      <c r="E3" s="285"/>
      <c r="F3" s="285"/>
      <c r="G3" s="285"/>
      <c r="H3" s="286"/>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20" t="s">
        <v>10</v>
      </c>
    </row>
    <row r="4" spans="1:82" ht="27.75" customHeight="1">
      <c r="D4" s="284"/>
      <c r="E4" s="285"/>
      <c r="F4" s="285"/>
      <c r="G4" s="285"/>
      <c r="H4" s="286"/>
      <c r="I4" s="290"/>
      <c r="J4" s="290"/>
      <c r="K4" s="290"/>
      <c r="L4" s="290"/>
      <c r="M4" s="290"/>
      <c r="N4" s="290"/>
      <c r="O4" s="290"/>
      <c r="P4" s="290"/>
      <c r="Q4" s="290"/>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14" t="s">
        <v>4</v>
      </c>
    </row>
    <row r="5" spans="1:82" ht="27.75" customHeight="1" thickBot="1">
      <c r="D5" s="287"/>
      <c r="E5" s="288"/>
      <c r="F5" s="288"/>
      <c r="G5" s="288"/>
      <c r="H5" s="289"/>
      <c r="I5" s="290"/>
      <c r="J5" s="290"/>
      <c r="K5" s="290"/>
      <c r="L5" s="290"/>
      <c r="M5" s="290"/>
      <c r="N5" s="290"/>
      <c r="O5" s="290"/>
      <c r="P5" s="290"/>
      <c r="Q5" s="290"/>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14" t="s">
        <v>11</v>
      </c>
    </row>
    <row r="6" spans="1:82" ht="14.1" customHeight="1">
      <c r="D6" s="113"/>
      <c r="E6" s="114"/>
      <c r="F6" s="114"/>
      <c r="G6" s="114"/>
      <c r="H6" s="114"/>
      <c r="I6" s="172"/>
      <c r="J6" s="172"/>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2"/>
      <c r="AK6" s="172"/>
      <c r="AL6" s="172"/>
      <c r="AM6" s="172"/>
      <c r="AN6" s="172"/>
      <c r="AO6" s="172"/>
      <c r="AP6" s="172"/>
      <c r="AQ6" s="172"/>
      <c r="AR6" s="172"/>
      <c r="AS6" s="172"/>
      <c r="AT6" s="172"/>
      <c r="AU6" s="172"/>
      <c r="AV6" s="172"/>
      <c r="AW6" s="172"/>
      <c r="AX6" s="172"/>
      <c r="AY6" s="172"/>
      <c r="AZ6" s="172"/>
      <c r="BA6" s="172"/>
      <c r="BB6" s="172"/>
      <c r="BC6" s="172"/>
      <c r="BD6" s="115"/>
    </row>
    <row r="7" spans="1:82" ht="26.25" customHeight="1">
      <c r="D7" s="291" t="s">
        <v>12</v>
      </c>
      <c r="E7" s="292"/>
      <c r="F7" s="292"/>
      <c r="G7" s="293"/>
      <c r="H7" s="294" t="s">
        <v>88</v>
      </c>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48.75" customHeight="1">
      <c r="D8" s="291" t="s">
        <v>13</v>
      </c>
      <c r="E8" s="292"/>
      <c r="F8" s="292"/>
      <c r="G8" s="293"/>
      <c r="H8" s="296" t="s">
        <v>89</v>
      </c>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295"/>
      <c r="AL8" s="295"/>
      <c r="AM8" s="295"/>
      <c r="AN8" s="295"/>
      <c r="AO8" s="295"/>
      <c r="AP8" s="295"/>
      <c r="AQ8" s="295"/>
      <c r="AR8" s="295"/>
      <c r="AS8" s="295"/>
      <c r="AT8" s="295"/>
      <c r="AU8" s="295"/>
      <c r="AV8" s="295"/>
      <c r="AW8" s="295"/>
      <c r="AX8" s="295"/>
      <c r="AY8" s="295"/>
      <c r="AZ8" s="295"/>
      <c r="BA8" s="295"/>
      <c r="BB8" s="295"/>
      <c r="BC8" s="295"/>
      <c r="BD8" s="295"/>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48.75" customHeight="1">
      <c r="D9" s="291" t="s">
        <v>14</v>
      </c>
      <c r="E9" s="292"/>
      <c r="F9" s="292"/>
      <c r="G9" s="293"/>
      <c r="H9" s="296" t="s">
        <v>90</v>
      </c>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c r="D10" s="175"/>
      <c r="E10" s="176"/>
      <c r="F10" s="177"/>
      <c r="G10" s="177"/>
      <c r="H10" s="175"/>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216"/>
      <c r="AT10" s="216"/>
      <c r="AU10" s="216"/>
      <c r="AV10" s="216"/>
      <c r="AW10" s="216"/>
      <c r="AX10" s="216"/>
      <c r="AY10" s="216"/>
      <c r="AZ10" s="179"/>
      <c r="BA10" s="179"/>
      <c r="BB10" s="179"/>
      <c r="BC10" s="179"/>
      <c r="BD10" s="179"/>
    </row>
    <row r="11" spans="1:82" s="174" customFormat="1" ht="25.5" customHeight="1">
      <c r="A11" s="269" t="s">
        <v>15</v>
      </c>
      <c r="B11" s="269"/>
      <c r="C11" s="270"/>
      <c r="D11" s="271" t="s">
        <v>16</v>
      </c>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3" t="s">
        <v>16</v>
      </c>
      <c r="AT11" s="273"/>
      <c r="AU11" s="273"/>
      <c r="AV11" s="273"/>
      <c r="AW11" s="273"/>
      <c r="AX11" s="273"/>
      <c r="AY11" s="273"/>
      <c r="AZ11" s="274" t="s">
        <v>18</v>
      </c>
      <c r="BA11" s="273"/>
      <c r="BB11" s="273"/>
      <c r="BC11" s="275" t="s">
        <v>19</v>
      </c>
      <c r="BD11" s="276"/>
    </row>
    <row r="12" spans="1:82" ht="27" customHeight="1">
      <c r="D12" s="279" t="s">
        <v>20</v>
      </c>
      <c r="E12" s="279"/>
      <c r="F12" s="279"/>
      <c r="G12" s="279"/>
      <c r="H12" s="279"/>
      <c r="I12" s="280"/>
      <c r="J12" s="280"/>
      <c r="K12" s="280"/>
      <c r="L12" s="280"/>
      <c r="M12" s="280"/>
      <c r="N12" s="280"/>
      <c r="O12" s="280"/>
      <c r="P12" s="280" t="s">
        <v>21</v>
      </c>
      <c r="Q12" s="280"/>
      <c r="R12" s="280"/>
      <c r="S12" s="280"/>
      <c r="T12" s="280"/>
      <c r="U12" s="280"/>
      <c r="V12" s="280" t="s">
        <v>22</v>
      </c>
      <c r="W12" s="280"/>
      <c r="X12" s="280"/>
      <c r="Y12" s="280"/>
      <c r="Z12" s="280"/>
      <c r="AA12" s="280"/>
      <c r="AB12" s="280"/>
      <c r="AC12" s="280"/>
      <c r="AD12" s="280"/>
      <c r="AE12" s="280"/>
      <c r="AF12" s="310" t="s">
        <v>23</v>
      </c>
      <c r="AG12" s="280" t="s">
        <v>24</v>
      </c>
      <c r="AH12" s="280"/>
      <c r="AI12" s="280"/>
      <c r="AJ12" s="280"/>
      <c r="AK12" s="280"/>
      <c r="AL12" s="280"/>
      <c r="AM12" s="280"/>
      <c r="AN12" s="218"/>
      <c r="AO12" s="271" t="s">
        <v>25</v>
      </c>
      <c r="AP12" s="272"/>
      <c r="AQ12" s="272"/>
      <c r="AR12" s="272"/>
      <c r="AS12" s="273"/>
      <c r="AT12" s="273"/>
      <c r="AU12" s="273"/>
      <c r="AV12" s="273"/>
      <c r="AW12" s="273"/>
      <c r="AX12" s="273"/>
      <c r="AY12" s="273"/>
      <c r="AZ12" s="274"/>
      <c r="BA12" s="273"/>
      <c r="BB12" s="273"/>
      <c r="BC12" s="277"/>
      <c r="BD12" s="278"/>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45.75" customHeight="1">
      <c r="D13" s="297" t="s">
        <v>26</v>
      </c>
      <c r="E13" s="298" t="s">
        <v>27</v>
      </c>
      <c r="F13" s="299" t="s">
        <v>28</v>
      </c>
      <c r="G13" s="300" t="s">
        <v>29</v>
      </c>
      <c r="H13" s="279" t="s">
        <v>30</v>
      </c>
      <c r="I13" s="298" t="s">
        <v>31</v>
      </c>
      <c r="J13" s="298" t="s">
        <v>32</v>
      </c>
      <c r="K13" s="298" t="s">
        <v>33</v>
      </c>
      <c r="L13" s="300" t="s">
        <v>34</v>
      </c>
      <c r="M13" s="304" t="s">
        <v>35</v>
      </c>
      <c r="N13" s="305"/>
      <c r="O13" s="298" t="s">
        <v>36</v>
      </c>
      <c r="P13" s="298" t="s">
        <v>37</v>
      </c>
      <c r="Q13" s="279" t="s">
        <v>38</v>
      </c>
      <c r="R13" s="298" t="s">
        <v>39</v>
      </c>
      <c r="S13" s="298" t="s">
        <v>40</v>
      </c>
      <c r="T13" s="279" t="s">
        <v>38</v>
      </c>
      <c r="U13" s="298" t="s">
        <v>41</v>
      </c>
      <c r="V13" s="303" t="s">
        <v>42</v>
      </c>
      <c r="W13" s="298" t="s">
        <v>43</v>
      </c>
      <c r="X13" s="298" t="s">
        <v>44</v>
      </c>
      <c r="Y13" s="298" t="s">
        <v>45</v>
      </c>
      <c r="Z13" s="298" t="s">
        <v>46</v>
      </c>
      <c r="AA13" s="298"/>
      <c r="AB13" s="298"/>
      <c r="AC13" s="298"/>
      <c r="AD13" s="298"/>
      <c r="AE13" s="298"/>
      <c r="AF13" s="311"/>
      <c r="AG13" s="303" t="s">
        <v>47</v>
      </c>
      <c r="AH13" s="303" t="s">
        <v>48</v>
      </c>
      <c r="AI13" s="303" t="s">
        <v>38</v>
      </c>
      <c r="AJ13" s="303" t="s">
        <v>49</v>
      </c>
      <c r="AK13" s="303" t="s">
        <v>38</v>
      </c>
      <c r="AL13" s="303" t="s">
        <v>50</v>
      </c>
      <c r="AM13" s="303" t="s">
        <v>51</v>
      </c>
      <c r="AN13" s="303" t="s">
        <v>52</v>
      </c>
      <c r="AO13" s="298" t="s">
        <v>53</v>
      </c>
      <c r="AP13" s="298" t="s">
        <v>54</v>
      </c>
      <c r="AQ13" s="298" t="s">
        <v>55</v>
      </c>
      <c r="AR13" s="300" t="s">
        <v>56</v>
      </c>
      <c r="AS13" s="306" t="s">
        <v>91</v>
      </c>
      <c r="AT13" s="308" t="s">
        <v>58</v>
      </c>
      <c r="AU13" s="308" t="s">
        <v>59</v>
      </c>
      <c r="AV13" s="308" t="s">
        <v>60</v>
      </c>
      <c r="AW13" s="308" t="s">
        <v>61</v>
      </c>
      <c r="AX13" s="308" t="s">
        <v>62</v>
      </c>
      <c r="AY13" s="308" t="s">
        <v>63</v>
      </c>
      <c r="AZ13" s="298" t="s">
        <v>64</v>
      </c>
      <c r="BA13" s="298" t="s">
        <v>65</v>
      </c>
      <c r="BB13" s="298" t="s">
        <v>66</v>
      </c>
      <c r="BC13" s="319" t="s">
        <v>64</v>
      </c>
      <c r="BD13" s="319" t="s">
        <v>67</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106.5" customHeight="1">
      <c r="A14" s="180"/>
      <c r="B14" s="180"/>
      <c r="C14" s="180"/>
      <c r="D14" s="297"/>
      <c r="E14" s="298"/>
      <c r="F14" s="280"/>
      <c r="G14" s="301"/>
      <c r="H14" s="279"/>
      <c r="I14" s="298"/>
      <c r="J14" s="298"/>
      <c r="K14" s="279"/>
      <c r="L14" s="301"/>
      <c r="M14" s="191" t="s">
        <v>68</v>
      </c>
      <c r="N14" s="191" t="s">
        <v>69</v>
      </c>
      <c r="O14" s="298"/>
      <c r="P14" s="298"/>
      <c r="Q14" s="279"/>
      <c r="R14" s="298"/>
      <c r="S14" s="279"/>
      <c r="T14" s="279"/>
      <c r="U14" s="298"/>
      <c r="V14" s="303"/>
      <c r="W14" s="298"/>
      <c r="X14" s="298"/>
      <c r="Y14" s="298"/>
      <c r="Z14" s="207" t="s">
        <v>70</v>
      </c>
      <c r="AA14" s="207" t="s">
        <v>71</v>
      </c>
      <c r="AB14" s="207" t="s">
        <v>72</v>
      </c>
      <c r="AC14" s="207" t="s">
        <v>23</v>
      </c>
      <c r="AD14" s="207" t="s">
        <v>73</v>
      </c>
      <c r="AE14" s="207" t="s">
        <v>74</v>
      </c>
      <c r="AF14" s="312"/>
      <c r="AG14" s="303"/>
      <c r="AH14" s="303"/>
      <c r="AI14" s="303"/>
      <c r="AJ14" s="303"/>
      <c r="AK14" s="303"/>
      <c r="AL14" s="303"/>
      <c r="AM14" s="303"/>
      <c r="AN14" s="303"/>
      <c r="AO14" s="298"/>
      <c r="AP14" s="298"/>
      <c r="AQ14" s="298"/>
      <c r="AR14" s="301"/>
      <c r="AS14" s="307"/>
      <c r="AT14" s="309"/>
      <c r="AU14" s="309"/>
      <c r="AV14" s="309"/>
      <c r="AW14" s="309"/>
      <c r="AX14" s="309"/>
      <c r="AY14" s="309"/>
      <c r="AZ14" s="300"/>
      <c r="BA14" s="300"/>
      <c r="BB14" s="300"/>
      <c r="BC14" s="309"/>
      <c r="BD14" s="309"/>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223" customFormat="1" ht="87.75" customHeight="1">
      <c r="D15" s="320">
        <v>1</v>
      </c>
      <c r="E15" s="322" t="s">
        <v>92</v>
      </c>
      <c r="F15" s="322" t="s">
        <v>141</v>
      </c>
      <c r="G15" s="324"/>
      <c r="H15" s="322" t="s">
        <v>151</v>
      </c>
      <c r="I15" s="326" t="s">
        <v>266</v>
      </c>
      <c r="J15" s="326" t="s">
        <v>267</v>
      </c>
      <c r="K15" s="326" t="s">
        <v>268</v>
      </c>
      <c r="L15" s="313" t="s">
        <v>98</v>
      </c>
      <c r="M15" s="315" t="s">
        <v>99</v>
      </c>
      <c r="N15" s="315" t="s">
        <v>100</v>
      </c>
      <c r="O15" s="313">
        <v>63</v>
      </c>
      <c r="P15" s="317" t="str">
        <f>IF(O15&lt;=0,"",IF(O15&lt;=2,"Muy Baja",IF(O15&lt;=24,"Baja",IF(O15&lt;=500,"Media",IF(O15&lt;=5000,"Alta","Muy Alta")))))</f>
        <v>Media</v>
      </c>
      <c r="Q15" s="338">
        <f>IF(P15="","",IF(P15="Muy Baja",0.2,IF(P15="Baja",0.4,IF(P15="Media",0.6,IF(P15="Alta",0.8,IF(P15="Muy Alta",1,))))))</f>
        <v>0.6</v>
      </c>
      <c r="R15" s="340" t="s">
        <v>101</v>
      </c>
      <c r="S15" s="317" t="str">
        <f>IFERROR(VLOOKUP(R15,Criterios[],2,FALSE),"")</f>
        <v>Moderado</v>
      </c>
      <c r="T15" s="338">
        <f t="shared" ref="T15" si="0">IF(S15="","",IF(S15="Leve",0.2,IF(S15="Menor",0.4,IF(S15="Moderado",0.6,IF(S15="Mayor",0.8,IF(S15="Catastrófico",1,))))))</f>
        <v>0.6</v>
      </c>
      <c r="U15" s="317"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Moderado</v>
      </c>
      <c r="V15" s="224"/>
      <c r="W15" s="442" t="s">
        <v>269</v>
      </c>
      <c r="X15" s="442" t="s">
        <v>270</v>
      </c>
      <c r="Y15" s="227" t="str">
        <f t="shared" ref="Y15" si="1">IF(OR(Z15="Preventivo",Z15="Detectivo"),"Probabilidad",IF(Z15="Correctivo","Impacto",""))</f>
        <v>Probabilidad</v>
      </c>
      <c r="Z15" s="228" t="s">
        <v>104</v>
      </c>
      <c r="AA15" s="228" t="s">
        <v>105</v>
      </c>
      <c r="AB15" s="229" t="str">
        <f t="shared" ref="AB15:AB17" si="2">IF(AND(Z15="Preventivo",AA15="Automático"),"50%",IF(AND(Z15="Preventivo",AA15="Manual"),"40%",IF(AND(Z15="Detectivo",AA15="Automático"),"40%",IF(AND(Z15="Detectivo",AA15="Manual"),"30%",IF(AND(Z15="Correctivo",AA15="Automático"),"35%",IF(AND(Z15="Correctivo",AA15="Manual"),"25%",""))))))</f>
        <v>40%</v>
      </c>
      <c r="AC15" s="228" t="s">
        <v>106</v>
      </c>
      <c r="AD15" s="228" t="s">
        <v>107</v>
      </c>
      <c r="AE15" s="228" t="s">
        <v>108</v>
      </c>
      <c r="AF15" s="230" t="s">
        <v>271</v>
      </c>
      <c r="AG15" s="231">
        <f>IFERROR(IF(Y15="Probabilidad",(Q15-(+ Q15*AB15)),IF(Y15="Impacto",Q15,"")),"")</f>
        <v>0.36</v>
      </c>
      <c r="AH15" s="232" t="str">
        <f>IFERROR(IF(AG15="","",IF(AG15&lt;=0.2,"Muy Baja",IF(AG15&lt;=0.4,"Baja",IF(AG15&lt;=0.6,"Media",IF(AG15&lt;=0.8,"Alta","Muy Alta"))))),"")</f>
        <v>Baja</v>
      </c>
      <c r="AI15" s="229">
        <f>+AG15</f>
        <v>0.36</v>
      </c>
      <c r="AJ15" s="232" t="str">
        <f>IFERROR(IF(AK15="","",IF(AK15&lt;=0.2,"Leve",IF(AK15&lt;=0.4,"Menor",IF(AK15&lt;=0.6,"Moderado",IF(AK15&lt;=0.8,"Mayor","Catastrófico"))))),"")</f>
        <v>Moderado</v>
      </c>
      <c r="AK15" s="229">
        <f>IFERROR(IF(Y15="Impacto",(T15-(+T15*AB15)),IF(Y15="Probabilidad",T15,"")),"")</f>
        <v>0.6</v>
      </c>
      <c r="AL15" s="232"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Moderado</v>
      </c>
      <c r="AM15" s="342" t="s">
        <v>75</v>
      </c>
      <c r="AN15" s="224">
        <v>1</v>
      </c>
      <c r="AO15" s="444" t="s">
        <v>272</v>
      </c>
      <c r="AP15" s="444" t="s">
        <v>273</v>
      </c>
      <c r="AQ15" s="446" t="s">
        <v>274</v>
      </c>
      <c r="AR15" s="333">
        <v>46368</v>
      </c>
      <c r="AS15" s="333">
        <v>46270</v>
      </c>
      <c r="AT15" s="385"/>
      <c r="AU15" s="233"/>
      <c r="AV15" s="233"/>
      <c r="AW15" s="233"/>
      <c r="AX15" s="233"/>
      <c r="AY15" s="233"/>
      <c r="AZ15" s="335"/>
      <c r="BA15" s="234"/>
      <c r="BB15" s="235"/>
      <c r="BC15" s="328"/>
      <c r="BD15" s="236"/>
      <c r="BE15" s="237"/>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row>
    <row r="16" spans="1:82" s="223" customFormat="1" ht="64.5" customHeight="1">
      <c r="D16" s="321"/>
      <c r="E16" s="323"/>
      <c r="F16" s="323"/>
      <c r="G16" s="325"/>
      <c r="H16" s="323"/>
      <c r="I16" s="327"/>
      <c r="J16" s="327"/>
      <c r="K16" s="327"/>
      <c r="L16" s="314"/>
      <c r="M16" s="316"/>
      <c r="N16" s="316"/>
      <c r="O16" s="314"/>
      <c r="P16" s="318"/>
      <c r="Q16" s="339"/>
      <c r="R16" s="341"/>
      <c r="S16" s="318"/>
      <c r="T16" s="339"/>
      <c r="U16" s="318"/>
      <c r="V16" s="239"/>
      <c r="W16" s="443"/>
      <c r="X16" s="443"/>
      <c r="Y16" s="227"/>
      <c r="Z16" s="228"/>
      <c r="AA16" s="228"/>
      <c r="AB16" s="229" t="str">
        <f t="shared" si="2"/>
        <v/>
      </c>
      <c r="AC16" s="228"/>
      <c r="AD16" s="228"/>
      <c r="AE16" s="228"/>
      <c r="AF16" s="230"/>
      <c r="AG16" s="231" t="str">
        <f t="shared" ref="AG16:AG17" si="3">IFERROR(IF(Y16="Probabilidad",(Q16-(+ Q16*AB16)),IF(Y16="Impacto",Q16,"")),"")</f>
        <v/>
      </c>
      <c r="AH16" s="232" t="str">
        <f t="shared" ref="AH16:AH17" si="4">IFERROR(IF(AG16="","",IF(AG16&lt;=0.2,"Muy Baja",IF(AG16&lt;=0.4,"Baja",IF(AG16&lt;=0.6,"Media",IF(AG16&lt;=0.8,"Alta","Muy Alta"))))),"")</f>
        <v/>
      </c>
      <c r="AI16" s="229" t="str">
        <f t="shared" ref="AI16:AI17" si="5">+AG16</f>
        <v/>
      </c>
      <c r="AJ16" s="232" t="str">
        <f t="shared" ref="AJ16:AJ17" si="6">IFERROR(IF(AK16="","",IF(AK16&lt;=0.2,"Leve",IF(AK16&lt;=0.4,"Menor",IF(AK16&lt;=0.6,"Moderado",IF(AK16&lt;=0.8,"Mayor","Catastrófico"))))),"")</f>
        <v/>
      </c>
      <c r="AK16" s="229" t="str">
        <f t="shared" ref="AK16:AK17" si="7">IFERROR(IF(Y16="Impacto",(T16-(+T16*AB16)),IF(Y16="Probabilidad",T16,"")),"")</f>
        <v/>
      </c>
      <c r="AL16" s="232" t="str">
        <f t="shared" ref="AL16:AL17" si="8">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
      </c>
      <c r="AM16" s="343"/>
      <c r="AN16" s="239">
        <v>2</v>
      </c>
      <c r="AO16" s="445"/>
      <c r="AP16" s="445"/>
      <c r="AQ16" s="447"/>
      <c r="AR16" s="334"/>
      <c r="AS16" s="334"/>
      <c r="AT16" s="386"/>
      <c r="AU16" s="233"/>
      <c r="AV16" s="233"/>
      <c r="AW16" s="233"/>
      <c r="AX16" s="233"/>
      <c r="AY16" s="233"/>
      <c r="AZ16" s="336"/>
      <c r="BA16" s="234"/>
      <c r="BB16" s="240"/>
      <c r="BC16" s="329"/>
      <c r="BD16" s="236"/>
      <c r="BE16" s="241"/>
      <c r="BF16" s="238"/>
      <c r="BG16" s="238"/>
      <c r="BH16" s="238"/>
      <c r="BI16" s="238"/>
      <c r="BJ16" s="238"/>
      <c r="BK16" s="238"/>
      <c r="BL16" s="238"/>
      <c r="BM16" s="238"/>
      <c r="BN16" s="238"/>
      <c r="BO16" s="238"/>
      <c r="BP16" s="238"/>
      <c r="BQ16" s="238"/>
      <c r="BR16" s="238"/>
      <c r="BS16" s="238"/>
      <c r="BT16" s="238"/>
      <c r="BU16" s="238"/>
      <c r="BV16" s="238"/>
      <c r="BW16" s="238"/>
      <c r="BX16" s="238"/>
      <c r="BY16" s="238"/>
      <c r="BZ16" s="238"/>
      <c r="CA16" s="238"/>
      <c r="CB16" s="238"/>
      <c r="CC16" s="238"/>
      <c r="CD16" s="238"/>
    </row>
    <row r="17" spans="4:82" s="223" customFormat="1" ht="81.75" customHeight="1">
      <c r="D17" s="320">
        <v>2</v>
      </c>
      <c r="E17" s="322" t="s">
        <v>92</v>
      </c>
      <c r="F17" s="322" t="s">
        <v>141</v>
      </c>
      <c r="G17" s="324"/>
      <c r="H17" s="322" t="s">
        <v>151</v>
      </c>
      <c r="I17" s="326" t="s">
        <v>275</v>
      </c>
      <c r="J17" s="326" t="s">
        <v>276</v>
      </c>
      <c r="K17" s="326" t="s">
        <v>277</v>
      </c>
      <c r="L17" s="313" t="s">
        <v>120</v>
      </c>
      <c r="M17" s="315" t="s">
        <v>255</v>
      </c>
      <c r="N17" s="315" t="s">
        <v>100</v>
      </c>
      <c r="O17" s="313">
        <v>23</v>
      </c>
      <c r="P17" s="317" t="str">
        <f>IF(O17&lt;=0,"",IF(O17&lt;=2,"Muy Baja",IF(O17&lt;=24,"Baja",IF(O17&lt;=500,"Media",IF(O17&lt;=5000,"Alta","Muy Alta")))))</f>
        <v>Baja</v>
      </c>
      <c r="Q17" s="338">
        <f t="shared" ref="Q17" si="9">IF(P17="","",IF(P17="Muy Baja",0.2,IF(P17="Baja",0.4,IF(P17="Media",0.6,IF(P17="Alta",0.8,IF(P17="Muy Alta",1,))))))</f>
        <v>0.4</v>
      </c>
      <c r="R17" s="340" t="s">
        <v>101</v>
      </c>
      <c r="S17" s="317" t="str">
        <f>IFERROR(VLOOKUP(R17,Criterios[],2,FALSE),"")</f>
        <v>Moderado</v>
      </c>
      <c r="T17" s="338">
        <f t="shared" ref="T17" si="10">IF(S17="","",IF(S17="Leve",0.2,IF(S17="Menor",0.4,IF(S17="Moderado",0.6,IF(S17="Mayor",0.8,IF(S17="Catastrófico",1,))))))</f>
        <v>0.6</v>
      </c>
      <c r="U17" s="317" t="str">
        <f t="shared" ref="U17" si="11">IF(OR(AND(P17="Muy Baja",S17="Leve"),AND(P17="Muy Baja",S17="Menor"),AND(P17="Baja",S17="Leve")),"Bajo",IF(OR(AND(P17="Muy baja",S17="Moderado"),AND(P17="Baja",S17="Menor"),AND(P17="Baja",S17="Moderado"),AND(P17="Media",S17="Leve"),AND(P17="Media",S17="Menor"),AND(P17="Media",S17="Moderado"),AND(P17="Alta",S17="Leve"),AND(P17="Alta",S17="Menor")),"Moderado",IF(OR(AND(P17="Muy Baja",S17="Mayor"),AND(P17="Baja",S17="Mayor"),AND(P17="Media",S17="Mayor"),AND(P17="Alta",S17="Moderado"),AND(P17="Alta",S17="Mayor"),AND(P17="Muy Alta",S17="Leve"),AND(P17="Muy Alta",S17="Menor"),AND(P17="Muy Alta",S17="Moderado"),AND(P17="Muy Alta",S17="Mayor")),"Alto",IF(OR(AND(P17="Muy Baja",S17="Catastrófico"),AND(P17="Baja",S17="Catastrófico"),AND(P17="Media",S17="Catastrófico"),AND(P17="Alta",S17="Catastrófico"),AND(P17="Muy Alta",S17="Catastrófico")),"Extremo",""))))</f>
        <v>Moderado</v>
      </c>
      <c r="V17" s="224"/>
      <c r="W17" s="262" t="s">
        <v>278</v>
      </c>
      <c r="X17" s="263" t="s">
        <v>279</v>
      </c>
      <c r="Y17" s="227" t="str">
        <f t="shared" ref="Y17:Y18" si="12">IF(OR(Z17="Preventivo",Z17="Detectivo"),"Probabilidad",IF(Z17="Correctivo","Impacto",""))</f>
        <v>Probabilidad</v>
      </c>
      <c r="Z17" s="228" t="s">
        <v>104</v>
      </c>
      <c r="AA17" s="228" t="s">
        <v>105</v>
      </c>
      <c r="AB17" s="229" t="str">
        <f t="shared" si="2"/>
        <v>40%</v>
      </c>
      <c r="AC17" s="228" t="s">
        <v>106</v>
      </c>
      <c r="AD17" s="228" t="s">
        <v>107</v>
      </c>
      <c r="AE17" s="228" t="s">
        <v>108</v>
      </c>
      <c r="AF17" s="226" t="s">
        <v>279</v>
      </c>
      <c r="AG17" s="231">
        <f t="shared" si="3"/>
        <v>0.24</v>
      </c>
      <c r="AH17" s="232" t="str">
        <f t="shared" si="4"/>
        <v>Baja</v>
      </c>
      <c r="AI17" s="229">
        <f t="shared" si="5"/>
        <v>0.24</v>
      </c>
      <c r="AJ17" s="232" t="str">
        <f t="shared" si="6"/>
        <v>Moderado</v>
      </c>
      <c r="AK17" s="229">
        <f t="shared" si="7"/>
        <v>0.6</v>
      </c>
      <c r="AL17" s="232" t="str">
        <f t="shared" si="8"/>
        <v>Moderado</v>
      </c>
      <c r="AM17" s="342" t="s">
        <v>75</v>
      </c>
      <c r="AN17" s="224">
        <v>1</v>
      </c>
      <c r="AO17" s="258" t="s">
        <v>280</v>
      </c>
      <c r="AP17" s="259" t="s">
        <v>273</v>
      </c>
      <c r="AQ17" s="260" t="s">
        <v>281</v>
      </c>
      <c r="AR17" s="333">
        <v>46368</v>
      </c>
      <c r="AS17" s="333">
        <v>46270</v>
      </c>
      <c r="AT17" s="385"/>
      <c r="AU17" s="233"/>
      <c r="AV17" s="233"/>
      <c r="AW17" s="233"/>
      <c r="AX17" s="233"/>
      <c r="AY17" s="233"/>
      <c r="AZ17" s="336"/>
      <c r="BA17" s="234"/>
      <c r="BB17" s="240"/>
      <c r="BC17" s="329"/>
      <c r="BD17" s="236"/>
      <c r="BE17" s="238"/>
      <c r="BF17" s="241"/>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row>
    <row r="18" spans="4:82" s="223" customFormat="1" ht="72" customHeight="1">
      <c r="D18" s="321"/>
      <c r="E18" s="323"/>
      <c r="F18" s="323"/>
      <c r="G18" s="325"/>
      <c r="H18" s="323"/>
      <c r="I18" s="327"/>
      <c r="J18" s="327"/>
      <c r="K18" s="434"/>
      <c r="L18" s="314"/>
      <c r="M18" s="316"/>
      <c r="N18" s="316"/>
      <c r="O18" s="314"/>
      <c r="P18" s="318"/>
      <c r="Q18" s="339"/>
      <c r="R18" s="341"/>
      <c r="S18" s="318"/>
      <c r="T18" s="339"/>
      <c r="U18" s="318"/>
      <c r="V18" s="239"/>
      <c r="W18" s="264" t="s">
        <v>282</v>
      </c>
      <c r="X18" s="265" t="s">
        <v>283</v>
      </c>
      <c r="Y18" s="227" t="str">
        <f t="shared" si="12"/>
        <v>Probabilidad</v>
      </c>
      <c r="Z18" s="228" t="s">
        <v>104</v>
      </c>
      <c r="AA18" s="228" t="s">
        <v>105</v>
      </c>
      <c r="AB18" s="229" t="str">
        <f t="shared" ref="AB18" si="13">IF(AND(Z18="Preventivo",AA18="Automático"),"50%",IF(AND(Z18="Preventivo",AA18="Manual"),"40%",IF(AND(Z18="Detectivo",AA18="Automático"),"40%",IF(AND(Z18="Detectivo",AA18="Manual"),"30%",IF(AND(Z18="Correctivo",AA18="Automático"),"35%",IF(AND(Z18="Correctivo",AA18="Manual"),"25%",""))))))</f>
        <v>40%</v>
      </c>
      <c r="AC18" s="228" t="s">
        <v>106</v>
      </c>
      <c r="AD18" s="228" t="s">
        <v>107</v>
      </c>
      <c r="AE18" s="228" t="s">
        <v>108</v>
      </c>
      <c r="AF18" s="268" t="s">
        <v>283</v>
      </c>
      <c r="AG18" s="231">
        <f>IFERROR(IF(Y18="Probabilidad",(Q18-(+ Q18*AB18)),IF(Y18="Impacto",Q18,"")),"")</f>
        <v>0</v>
      </c>
      <c r="AH18" s="232" t="str">
        <f>IFERROR(IF(AG18="","",IF(AG18&lt;=0.2,"Muy Baja",IF(AG18&lt;=0.4,"Baja",IF(AG18&lt;=0.6,"Media",IF(AG18&lt;=0.8,"Alta","Muy Alta"))))),"")</f>
        <v>Muy Baja</v>
      </c>
      <c r="AI18" s="229">
        <f t="shared" ref="AI16:AI18" si="14">+AG18</f>
        <v>0</v>
      </c>
      <c r="AJ18" s="232" t="str">
        <f t="shared" ref="AJ16:AJ18" si="15">IFERROR(IF(AK18="","",IF(AK18&lt;=0.2,"Leve",IF(AK18&lt;=0.4,"Menor",IF(AK18&lt;=0.6,"Moderado",IF(AK18&lt;=0.8,"Mayor","Catastrófico"))))),"")</f>
        <v>Leve</v>
      </c>
      <c r="AK18" s="229">
        <f t="shared" ref="AK16:AK22" si="16">IFERROR(IF(Y18="Impacto",(T18-(+T18*AB18)),IF(Y18="Probabilidad",T18,"")),"")</f>
        <v>0</v>
      </c>
      <c r="AL18" s="232" t="str">
        <f t="shared" ref="AL16:AL21" si="17">IFERROR(IF(OR(AND(AH18="Muy Baja",AJ18="Leve"),AND(AH18="Muy Baja",AJ18="Menor"),AND(AH18="Baja",AJ18="Leve")),"Bajo",IF(OR(AND(AH18="Muy baja",AJ18="Moderado"),AND(AH18="Baja",AJ18="Menor"),AND(AH18="Baja",AJ18="Moderado"),AND(AH18="Media",AJ18="Leve"),AND(AH18="Media",AJ18="Menor"),AND(AH18="Media",AJ18="Moderado"),AND(AH18="Alta",AJ18="Leve"),AND(AH18="Alta",AJ18="Menor")),"Moderado",IF(OR(AND(AH18="Muy Baja",AJ18="Mayor"),AND(AH18="Baja",AJ18="Mayor"),AND(AH18="Media",AJ18="Mayor"),AND(AH18="Alta",AJ18="Moderado"),AND(AH18="Alta",AJ18="Mayor"),AND(AH18="Muy Alta",AJ18="Leve"),AND(AH18="Muy Alta",AJ18="Menor"),AND(AH18="Muy Alta",AJ18="Moderado"),AND(AH18="Muy Alta",AJ18="Mayor")),"Alto",IF(OR(AND(AH18="Muy Baja",AJ18="Catastrófico"),AND(AH18="Baja",AJ18="Catastrófico"),AND(AH18="Media",AJ18="Catastrófico"),AND(AH18="Alta",AJ18="Catastrófico"),AND(AH18="Muy Alta",AJ18="Catastrófico")),"Extremo","")))),"")</f>
        <v>Bajo</v>
      </c>
      <c r="AM18" s="343"/>
      <c r="AN18" s="239">
        <v>2</v>
      </c>
      <c r="AO18" s="261" t="s">
        <v>284</v>
      </c>
      <c r="AP18" s="259" t="s">
        <v>273</v>
      </c>
      <c r="AQ18" s="260" t="s">
        <v>285</v>
      </c>
      <c r="AR18" s="334"/>
      <c r="AS18" s="334"/>
      <c r="AT18" s="386"/>
      <c r="AU18" s="233"/>
      <c r="AV18" s="233"/>
      <c r="AW18" s="233"/>
      <c r="AX18" s="233"/>
      <c r="AY18" s="233"/>
      <c r="AZ18" s="336"/>
      <c r="BA18" s="234"/>
      <c r="BB18" s="240"/>
      <c r="BC18" s="329"/>
      <c r="BD18" s="236"/>
      <c r="BE18" s="238"/>
      <c r="BF18" s="241"/>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row>
    <row r="19" spans="4:82" s="223" customFormat="1" ht="71.25" customHeight="1">
      <c r="D19" s="320">
        <v>3</v>
      </c>
      <c r="E19" s="322"/>
      <c r="F19" s="322"/>
      <c r="G19" s="324"/>
      <c r="H19" s="322"/>
      <c r="I19" s="326"/>
      <c r="J19" s="326"/>
      <c r="K19" s="326"/>
      <c r="L19" s="313"/>
      <c r="M19" s="315"/>
      <c r="N19" s="315"/>
      <c r="O19" s="313"/>
      <c r="P19" s="317" t="str">
        <f>IF(O19&lt;=0,"",IF(O19&lt;=2,"Muy Baja",IF(O19&lt;=24,"Baja",IF(O19&lt;=500,"Media",IF(O19&lt;=5000,"Alta","Muy Alta")))))</f>
        <v/>
      </c>
      <c r="Q19" s="338" t="str">
        <f t="shared" ref="Q19" si="18">IF(P19="","",IF(P19="Muy Baja",0.2,IF(P19="Baja",0.4,IF(P19="Media",0.6,IF(P19="Alta",0.8,IF(P19="Muy Alta",1,))))))</f>
        <v/>
      </c>
      <c r="R19" s="340"/>
      <c r="S19" s="317" t="str">
        <f>IFERROR(VLOOKUP(R19,Criterios[],2,FALSE),"")</f>
        <v/>
      </c>
      <c r="T19" s="338" t="str">
        <f t="shared" ref="T19" si="19">IF(S19="","",IF(S19="Leve",0.2,IF(S19="Menor",0.4,IF(S19="Moderado",0.6,IF(S19="Mayor",0.8,IF(S19="Catastrófico",1,))))))</f>
        <v/>
      </c>
      <c r="U19" s="317" t="str">
        <f t="shared" ref="U19" si="20">IF(OR(AND(P19="Muy Baja",S19="Leve"),AND(P19="Muy Baja",S19="Menor"),AND(P19="Baja",S19="Leve")),"Bajo",IF(OR(AND(P19="Muy baja",S19="Moderado"),AND(P19="Baja",S19="Menor"),AND(P19="Baja",S19="Moderado"),AND(P19="Media",S19="Leve"),AND(P19="Media",S19="Menor"),AND(P19="Media",S19="Moderado"),AND(P19="Alta",S19="Leve"),AND(P19="Alta",S19="Menor")),"Moderado",IF(OR(AND(P19="Muy Baja",S19="Mayor"),AND(P19="Baja",S19="Mayor"),AND(P19="Media",S19="Mayor"),AND(P19="Alta",S19="Moderado"),AND(P19="Alta",S19="Mayor"),AND(P19="Muy Alta",S19="Leve"),AND(P19="Muy Alta",S19="Menor"),AND(P19="Muy Alta",S19="Moderado"),AND(P19="Muy Alta",S19="Mayor")),"Alto",IF(OR(AND(P19="Muy Baja",S19="Catastrófico"),AND(P19="Baja",S19="Catastrófico"),AND(P19="Media",S19="Catastrófico"),AND(P19="Alta",S19="Catastrófico"),AND(P19="Muy Alta",S19="Catastrófico")),"Extremo",""))))</f>
        <v/>
      </c>
      <c r="V19" s="224"/>
      <c r="W19" s="225"/>
      <c r="X19" s="226"/>
      <c r="Y19" s="227"/>
      <c r="Z19" s="228"/>
      <c r="AA19" s="228"/>
      <c r="AB19" s="229"/>
      <c r="AC19" s="228"/>
      <c r="AD19" s="228"/>
      <c r="AE19" s="228"/>
      <c r="AF19" s="230"/>
      <c r="AG19" s="231"/>
      <c r="AH19" s="232" t="str">
        <f t="shared" ref="AH16:AH22" si="21">IFERROR(IF(AG19="","",IF(AG19&lt;=0.2,"Muy Baja",IF(AG19&lt;=0.4,"Baja",IF(AG19&lt;=0.6,"Media",IF(AG19&lt;=0.8,"Alta","Muy Alta"))))),"")</f>
        <v/>
      </c>
      <c r="AI19" s="229">
        <f t="shared" ref="AI19:AI22" si="22">+AG19</f>
        <v>0</v>
      </c>
      <c r="AJ19" s="232" t="str">
        <f t="shared" ref="AJ19:AJ22" si="23">IFERROR(IF(AK19="","",IF(AK19&lt;=0.2,"Leve",IF(AK19&lt;=0.4,"Menor",IF(AK19&lt;=0.6,"Moderado",IF(AK19&lt;=0.8,"Mayor","Catastrófico"))))),"")</f>
        <v/>
      </c>
      <c r="AK19" s="229" t="str">
        <f t="shared" si="16"/>
        <v/>
      </c>
      <c r="AL19" s="232" t="str">
        <f t="shared" si="17"/>
        <v/>
      </c>
      <c r="AM19" s="342"/>
      <c r="AN19" s="224"/>
      <c r="AO19" s="326"/>
      <c r="AP19" s="331"/>
      <c r="AQ19" s="333"/>
      <c r="AR19" s="333"/>
      <c r="AS19" s="333"/>
      <c r="AT19" s="385"/>
      <c r="AU19" s="233"/>
      <c r="AV19" s="233"/>
      <c r="AW19" s="233"/>
      <c r="AX19" s="233"/>
      <c r="AY19" s="233"/>
      <c r="AZ19" s="336"/>
      <c r="BA19" s="234"/>
      <c r="BB19" s="240"/>
      <c r="BC19" s="329"/>
      <c r="BD19" s="236"/>
      <c r="BE19" s="238"/>
      <c r="BF19" s="241"/>
      <c r="BG19" s="238"/>
      <c r="BH19" s="238"/>
      <c r="BI19" s="238"/>
      <c r="BJ19" s="238"/>
      <c r="BK19" s="238"/>
      <c r="BL19" s="238"/>
      <c r="BM19" s="238"/>
      <c r="BN19" s="238"/>
      <c r="BO19" s="238"/>
      <c r="BP19" s="238"/>
      <c r="BQ19" s="238"/>
      <c r="BR19" s="238"/>
      <c r="BS19" s="238"/>
      <c r="BT19" s="238"/>
      <c r="BU19" s="238"/>
      <c r="BV19" s="238"/>
      <c r="BW19" s="238"/>
      <c r="BX19" s="238"/>
      <c r="BY19" s="238"/>
      <c r="BZ19" s="238"/>
      <c r="CA19" s="238"/>
      <c r="CB19" s="238"/>
      <c r="CC19" s="238"/>
      <c r="CD19" s="238"/>
    </row>
    <row r="20" spans="4:82" s="223" customFormat="1" ht="82.5" customHeight="1">
      <c r="D20" s="321"/>
      <c r="E20" s="323"/>
      <c r="F20" s="323"/>
      <c r="G20" s="325"/>
      <c r="H20" s="323"/>
      <c r="I20" s="327"/>
      <c r="J20" s="327"/>
      <c r="K20" s="434"/>
      <c r="L20" s="314"/>
      <c r="M20" s="316"/>
      <c r="N20" s="316"/>
      <c r="O20" s="314"/>
      <c r="P20" s="318"/>
      <c r="Q20" s="339"/>
      <c r="R20" s="341"/>
      <c r="S20" s="318"/>
      <c r="T20" s="339"/>
      <c r="U20" s="318"/>
      <c r="V20" s="239"/>
      <c r="W20" s="225"/>
      <c r="X20" s="226"/>
      <c r="Y20" s="227"/>
      <c r="Z20" s="228"/>
      <c r="AA20" s="228"/>
      <c r="AB20" s="229"/>
      <c r="AC20" s="228"/>
      <c r="AD20" s="228"/>
      <c r="AE20" s="228"/>
      <c r="AF20" s="230"/>
      <c r="AG20" s="231"/>
      <c r="AH20" s="232" t="str">
        <f t="shared" si="21"/>
        <v/>
      </c>
      <c r="AI20" s="229">
        <f t="shared" si="22"/>
        <v>0</v>
      </c>
      <c r="AJ20" s="232" t="str">
        <f t="shared" si="23"/>
        <v/>
      </c>
      <c r="AK20" s="229" t="str">
        <f t="shared" si="16"/>
        <v/>
      </c>
      <c r="AL20" s="232" t="str">
        <f t="shared" si="17"/>
        <v/>
      </c>
      <c r="AM20" s="343"/>
      <c r="AN20" s="239"/>
      <c r="AO20" s="327"/>
      <c r="AP20" s="332"/>
      <c r="AQ20" s="334"/>
      <c r="AR20" s="334"/>
      <c r="AS20" s="334"/>
      <c r="AT20" s="386"/>
      <c r="AU20" s="233"/>
      <c r="AV20" s="233"/>
      <c r="AW20" s="233"/>
      <c r="AX20" s="233"/>
      <c r="AY20" s="233"/>
      <c r="AZ20" s="336"/>
      <c r="BA20" s="234"/>
      <c r="BB20" s="240"/>
      <c r="BC20" s="329"/>
      <c r="BD20" s="236"/>
      <c r="BE20" s="241"/>
      <c r="BF20" s="238"/>
      <c r="BG20" s="238"/>
      <c r="BH20" s="238"/>
      <c r="BI20" s="238"/>
      <c r="BJ20" s="238"/>
      <c r="BK20" s="238"/>
      <c r="BL20" s="238"/>
      <c r="BM20" s="238"/>
      <c r="BN20" s="238"/>
      <c r="BO20" s="238"/>
      <c r="BP20" s="238"/>
      <c r="BQ20" s="238"/>
      <c r="BR20" s="238"/>
      <c r="BS20" s="238"/>
      <c r="BT20" s="238"/>
      <c r="BU20" s="238"/>
      <c r="BV20" s="238"/>
      <c r="BW20" s="238"/>
      <c r="BX20" s="238"/>
      <c r="BY20" s="238"/>
      <c r="BZ20" s="238"/>
      <c r="CA20" s="238"/>
      <c r="CB20" s="238"/>
      <c r="CC20" s="238"/>
      <c r="CD20" s="238"/>
    </row>
    <row r="21" spans="4:82" s="223" customFormat="1" ht="39.75" customHeight="1">
      <c r="D21" s="320">
        <v>4</v>
      </c>
      <c r="E21" s="322"/>
      <c r="F21" s="322"/>
      <c r="G21" s="324"/>
      <c r="H21" s="322"/>
      <c r="I21" s="326"/>
      <c r="J21" s="326"/>
      <c r="K21" s="326"/>
      <c r="L21" s="313"/>
      <c r="M21" s="315"/>
      <c r="N21" s="315"/>
      <c r="O21" s="313"/>
      <c r="P21" s="317" t="str">
        <f>IF(O21&lt;=0,"",IF(O21&lt;=2,"Muy Baja",IF(O21&lt;=24,"Baja",IF(O21&lt;=500,"Media",IF(O21&lt;=5000,"Alta","Muy Alta")))))</f>
        <v/>
      </c>
      <c r="Q21" s="338" t="str">
        <f t="shared" ref="Q21" si="24">IF(P21="","",IF(P21="Muy Baja",0.2,IF(P21="Baja",0.4,IF(P21="Media",0.6,IF(P21="Alta",0.8,IF(P21="Muy Alta",1,))))))</f>
        <v/>
      </c>
      <c r="R21" s="340"/>
      <c r="S21" s="317" t="str">
        <f>IFERROR(VLOOKUP(R21,Criterios[],2,FALSE),"")</f>
        <v/>
      </c>
      <c r="T21" s="338" t="str">
        <f t="shared" ref="T21" si="25">IF(S21="","",IF(S21="Leve",0.2,IF(S21="Menor",0.4,IF(S21="Moderado",0.6,IF(S21="Mayor",0.8,IF(S21="Catastrófico",1,))))))</f>
        <v/>
      </c>
      <c r="U21" s="317" t="str">
        <f t="shared" ref="U21" si="26">IF(OR(AND(P21="Muy Baja",S21="Leve"),AND(P21="Muy Baja",S21="Menor"),AND(P21="Baja",S21="Leve")),"Bajo",IF(OR(AND(P21="Muy baja",S21="Moderado"),AND(P21="Baja",S21="Menor"),AND(P21="Baja",S21="Moderado"),AND(P21="Media",S21="Leve"),AND(P21="Media",S21="Menor"),AND(P21="Media",S21="Moderado"),AND(P21="Alta",S21="Leve"),AND(P21="Alta",S21="Menor")),"Moderado",IF(OR(AND(P21="Muy Baja",S21="Mayor"),AND(P21="Baja",S21="Mayor"),AND(P21="Media",S21="Mayor"),AND(P21="Alta",S21="Moderado"),AND(P21="Alta",S21="Mayor"),AND(P21="Muy Alta",S21="Leve"),AND(P21="Muy Alta",S21="Menor"),AND(P21="Muy Alta",S21="Moderado"),AND(P21="Muy Alta",S21="Mayor")),"Alto",IF(OR(AND(P21="Muy Baja",S21="Catastrófico"),AND(P21="Baja",S21="Catastrófico"),AND(P21="Media",S21="Catastrófico"),AND(P21="Alta",S21="Catastrófico"),AND(P21="Muy Alta",S21="Catastrófico")),"Extremo",""))))</f>
        <v/>
      </c>
      <c r="V21" s="224"/>
      <c r="W21" s="225"/>
      <c r="X21" s="226"/>
      <c r="Y21" s="227"/>
      <c r="Z21" s="228"/>
      <c r="AA21" s="228"/>
      <c r="AB21" s="229"/>
      <c r="AC21" s="228"/>
      <c r="AD21" s="228"/>
      <c r="AE21" s="228"/>
      <c r="AF21" s="230"/>
      <c r="AG21" s="231"/>
      <c r="AH21" s="232" t="str">
        <f t="shared" si="21"/>
        <v/>
      </c>
      <c r="AI21" s="229">
        <f t="shared" si="22"/>
        <v>0</v>
      </c>
      <c r="AJ21" s="232" t="str">
        <f t="shared" si="23"/>
        <v/>
      </c>
      <c r="AK21" s="229" t="str">
        <f t="shared" si="16"/>
        <v/>
      </c>
      <c r="AL21" s="232" t="str">
        <f t="shared" si="17"/>
        <v/>
      </c>
      <c r="AM21" s="342" t="s">
        <v>75</v>
      </c>
      <c r="AN21" s="224">
        <v>1</v>
      </c>
      <c r="AO21" s="326"/>
      <c r="AP21" s="331"/>
      <c r="AQ21" s="333"/>
      <c r="AR21" s="333"/>
      <c r="AS21" s="333"/>
      <c r="AT21" s="385"/>
      <c r="AU21" s="233"/>
      <c r="AV21" s="233"/>
      <c r="AW21" s="233"/>
      <c r="AX21" s="233"/>
      <c r="AY21" s="233"/>
      <c r="AZ21" s="336"/>
      <c r="BA21" s="242"/>
      <c r="BB21" s="242"/>
      <c r="BC21" s="329"/>
      <c r="BD21" s="236"/>
      <c r="BE21" s="238"/>
      <c r="BF21" s="238"/>
      <c r="BG21" s="238"/>
      <c r="BH21" s="238"/>
      <c r="BI21" s="238"/>
      <c r="BJ21" s="238"/>
      <c r="BK21" s="238"/>
      <c r="BL21" s="238"/>
      <c r="BM21" s="238"/>
      <c r="BN21" s="238"/>
      <c r="BO21" s="238"/>
      <c r="BP21" s="238"/>
      <c r="BQ21" s="238"/>
      <c r="BR21" s="238"/>
      <c r="BS21" s="238"/>
      <c r="BT21" s="238"/>
      <c r="BU21" s="238"/>
      <c r="BV21" s="238"/>
      <c r="BW21" s="238"/>
      <c r="BX21" s="238"/>
      <c r="BY21" s="238"/>
      <c r="BZ21" s="238"/>
      <c r="CA21" s="238"/>
      <c r="CB21" s="238"/>
      <c r="CC21" s="238"/>
      <c r="CD21" s="238"/>
    </row>
    <row r="22" spans="4:82" s="223" customFormat="1" ht="39.75" customHeight="1">
      <c r="D22" s="321"/>
      <c r="E22" s="323"/>
      <c r="F22" s="323"/>
      <c r="G22" s="325"/>
      <c r="H22" s="323"/>
      <c r="I22" s="327"/>
      <c r="J22" s="327"/>
      <c r="K22" s="327"/>
      <c r="L22" s="314"/>
      <c r="M22" s="316"/>
      <c r="N22" s="316"/>
      <c r="O22" s="314"/>
      <c r="P22" s="318"/>
      <c r="Q22" s="339"/>
      <c r="R22" s="341"/>
      <c r="S22" s="318"/>
      <c r="T22" s="339"/>
      <c r="U22" s="318"/>
      <c r="V22" s="239"/>
      <c r="W22" s="225"/>
      <c r="X22" s="226"/>
      <c r="Y22" s="227"/>
      <c r="Z22" s="228"/>
      <c r="AA22" s="228"/>
      <c r="AB22" s="229"/>
      <c r="AC22" s="228"/>
      <c r="AD22" s="228"/>
      <c r="AE22" s="228"/>
      <c r="AF22" s="230"/>
      <c r="AG22" s="231"/>
      <c r="AH22" s="232" t="str">
        <f t="shared" si="21"/>
        <v/>
      </c>
      <c r="AI22" s="229">
        <f t="shared" si="22"/>
        <v>0</v>
      </c>
      <c r="AJ22" s="232" t="str">
        <f t="shared" si="23"/>
        <v/>
      </c>
      <c r="AK22" s="229" t="str">
        <f t="shared" si="16"/>
        <v/>
      </c>
      <c r="AL22" s="232" t="str">
        <f t="shared" ref="AL22" si="27">IFERROR(IF(OR(AND(AH22="Muy Baja",AJ22="Leve"),AND(AH22="Muy Baja",AJ22="Menor"),AND(AH22="Baja",AJ22="Leve")),"Bajo",IF(OR(AND(AH22="Muy baja",AJ22="Moderado"),AND(AH22="Baja",AJ22="Menor"),AND(AH22="Baja",AJ22="Moderado"),AND(AH22="Media",AJ22="Leve"),AND(AH22="Media",AJ22="Menor"),AND(AH22="Media",AJ22="Moderado"),AND(AH22="Alta",AJ22="Leve"),AND(AH22="Alta",AJ22="Menor")),"Moderado",IF(OR(AND(AH22="Muy Baja",AJ22="Mayor"),AND(AH22="Baja",AJ22="Mayor"),AND(AH22="Media",AJ22="Mayor"),AND(AH22="Alta",AJ22="Moderado"),AND(AH22="Alta",AJ22="Mayor"),AND(AH22="Muy Alta",AJ22="Leve"),AND(AH22="Muy Alta",AJ22="Menor"),AND(AH22="Muy Alta",AJ22="Moderado"),AND(AH22="Muy Alta",AJ22="Mayor")),"Alto",IF(OR(AND(AH22="Muy Baja",AJ22="Catastrófico"),AND(AH22="Baja",AJ22="Catastrófico"),AND(AH22="Media",AJ22="Catastrófico"),AND(AH22="Alta",AJ22="Catastrófico"),AND(AH22="Muy Alta",AJ22="Catastrófico")),"Extremo","")))),"")</f>
        <v/>
      </c>
      <c r="AM22" s="343"/>
      <c r="AN22" s="239">
        <v>2</v>
      </c>
      <c r="AO22" s="327"/>
      <c r="AP22" s="332"/>
      <c r="AQ22" s="334"/>
      <c r="AR22" s="334"/>
      <c r="AS22" s="334"/>
      <c r="AT22" s="386"/>
      <c r="AU22" s="233"/>
      <c r="AV22" s="233"/>
      <c r="AW22" s="233"/>
      <c r="AX22" s="233"/>
      <c r="AY22" s="233"/>
      <c r="AZ22" s="336"/>
      <c r="BA22" s="242"/>
      <c r="BB22" s="242"/>
      <c r="BC22" s="329"/>
      <c r="BD22" s="236"/>
      <c r="BE22" s="238"/>
      <c r="BF22" s="238"/>
      <c r="BG22" s="238"/>
      <c r="BH22" s="238"/>
      <c r="BI22" s="238"/>
      <c r="BJ22" s="238"/>
      <c r="BK22" s="238"/>
      <c r="BL22" s="238"/>
      <c r="BM22" s="238"/>
      <c r="BN22" s="238"/>
      <c r="BO22" s="238"/>
      <c r="BP22" s="238"/>
      <c r="BQ22" s="238"/>
      <c r="BR22" s="238"/>
      <c r="BS22" s="238"/>
      <c r="BT22" s="238"/>
      <c r="BU22" s="238"/>
      <c r="BV22" s="238"/>
      <c r="BW22" s="238"/>
      <c r="BX22" s="238"/>
      <c r="BY22" s="238"/>
      <c r="BZ22" s="238"/>
      <c r="CA22" s="238"/>
      <c r="CB22" s="238"/>
      <c r="CC22" s="238"/>
      <c r="CD22" s="238"/>
    </row>
    <row r="23" spans="4:82" s="183" customFormat="1" ht="58.5" customHeight="1">
      <c r="D23" s="368">
        <v>5</v>
      </c>
      <c r="E23" s="354"/>
      <c r="F23" s="354"/>
      <c r="G23" s="356"/>
      <c r="H23" s="354"/>
      <c r="I23" s="358"/>
      <c r="J23" s="358"/>
      <c r="K23" s="326"/>
      <c r="L23" s="348"/>
      <c r="M23" s="366"/>
      <c r="N23" s="366"/>
      <c r="O23" s="348"/>
      <c r="P23" s="350" t="str">
        <f t="shared" ref="P23:P31" si="28">IF(O23&lt;=0,"",IF(O23&lt;=2,"Muy Baja",IF(O23&lt;=24,"Baja",IF(O23&lt;=500,"Media",IF(O23&lt;=5000,"Alta","Muy Alta")))))</f>
        <v/>
      </c>
      <c r="Q23" s="352" t="str">
        <f t="shared" ref="Q23" si="29">IF(P23="","",IF(P23="Muy Baja",0.2,IF(P23="Baja",0.4,IF(P23="Media",0.6,IF(P23="Alta",0.8,IF(P23="Muy Alta",1,))))))</f>
        <v/>
      </c>
      <c r="R23" s="372"/>
      <c r="S23" s="350"/>
      <c r="T23" s="352"/>
      <c r="U23" s="350"/>
      <c r="V23" s="192"/>
      <c r="W23" s="193"/>
      <c r="X23" s="194"/>
      <c r="Y23" s="227"/>
      <c r="Z23" s="228"/>
      <c r="AA23" s="228"/>
      <c r="AB23" s="229"/>
      <c r="AC23" s="228"/>
      <c r="AD23" s="228"/>
      <c r="AE23" s="228"/>
      <c r="AF23" s="215"/>
      <c r="AG23" s="198"/>
      <c r="AH23" s="199"/>
      <c r="AI23" s="197"/>
      <c r="AJ23" s="199"/>
      <c r="AK23" s="197"/>
      <c r="AL23" s="199"/>
      <c r="AM23" s="360" t="s">
        <v>75</v>
      </c>
      <c r="AN23" s="192">
        <v>1</v>
      </c>
      <c r="AO23" s="358"/>
      <c r="AP23" s="362"/>
      <c r="AQ23" s="364"/>
      <c r="AR23" s="364"/>
      <c r="AS23" s="364"/>
      <c r="AT23" s="385"/>
      <c r="AU23" s="221"/>
      <c r="AV23" s="221"/>
      <c r="AW23" s="221"/>
      <c r="AX23" s="221"/>
      <c r="AY23" s="221"/>
      <c r="AZ23" s="336"/>
      <c r="BA23" s="219"/>
      <c r="BB23" s="219"/>
      <c r="BC23" s="329"/>
      <c r="BD23" s="222"/>
      <c r="BE23" s="185"/>
      <c r="BF23" s="185"/>
      <c r="BG23" s="185"/>
      <c r="BH23" s="185"/>
      <c r="BI23" s="185"/>
      <c r="BJ23" s="185"/>
      <c r="BK23" s="185"/>
      <c r="BL23" s="185"/>
      <c r="BM23" s="185"/>
      <c r="BN23" s="185"/>
      <c r="BO23" s="185"/>
      <c r="BP23" s="185"/>
      <c r="BQ23" s="185"/>
      <c r="BR23" s="185"/>
      <c r="BS23" s="185"/>
      <c r="BT23" s="185"/>
      <c r="BU23" s="185"/>
      <c r="BV23" s="185"/>
      <c r="BW23" s="185"/>
      <c r="BX23" s="185"/>
      <c r="BY23" s="185"/>
      <c r="BZ23" s="185"/>
      <c r="CA23" s="185"/>
      <c r="CB23" s="185"/>
      <c r="CC23" s="185"/>
      <c r="CD23" s="185"/>
    </row>
    <row r="24" spans="4:82" s="183" customFormat="1" ht="58.5" customHeight="1">
      <c r="D24" s="369"/>
      <c r="E24" s="355"/>
      <c r="F24" s="355"/>
      <c r="G24" s="357"/>
      <c r="H24" s="355"/>
      <c r="I24" s="359"/>
      <c r="J24" s="359"/>
      <c r="K24" s="327"/>
      <c r="L24" s="349"/>
      <c r="M24" s="367"/>
      <c r="N24" s="367"/>
      <c r="O24" s="349"/>
      <c r="P24" s="351"/>
      <c r="Q24" s="353"/>
      <c r="R24" s="373"/>
      <c r="S24" s="351"/>
      <c r="T24" s="353"/>
      <c r="U24" s="351"/>
      <c r="V24" s="200"/>
      <c r="W24" s="193"/>
      <c r="X24" s="194"/>
      <c r="Y24" s="227"/>
      <c r="Z24" s="228"/>
      <c r="AA24" s="228"/>
      <c r="AB24" s="229"/>
      <c r="AC24" s="228"/>
      <c r="AD24" s="228"/>
      <c r="AE24" s="228"/>
      <c r="AF24" s="215"/>
      <c r="AG24" s="198"/>
      <c r="AH24" s="199"/>
      <c r="AI24" s="197"/>
      <c r="AJ24" s="199"/>
      <c r="AK24" s="197"/>
      <c r="AL24" s="199"/>
      <c r="AM24" s="361"/>
      <c r="AN24" s="200">
        <v>2</v>
      </c>
      <c r="AO24" s="359"/>
      <c r="AP24" s="363"/>
      <c r="AQ24" s="365"/>
      <c r="AR24" s="365"/>
      <c r="AS24" s="365"/>
      <c r="AT24" s="386"/>
      <c r="AU24" s="221"/>
      <c r="AV24" s="221"/>
      <c r="AW24" s="221"/>
      <c r="AX24" s="221"/>
      <c r="AY24" s="221"/>
      <c r="AZ24" s="336"/>
      <c r="BA24" s="219"/>
      <c r="BB24" s="219"/>
      <c r="BC24" s="329"/>
      <c r="BD24" s="222"/>
      <c r="BE24" s="185"/>
      <c r="BF24" s="185"/>
      <c r="BG24" s="185"/>
      <c r="BH24" s="185"/>
      <c r="BI24" s="185"/>
      <c r="BJ24" s="185"/>
      <c r="BK24" s="185"/>
      <c r="BL24" s="185"/>
      <c r="BM24" s="185"/>
      <c r="BN24" s="185"/>
      <c r="BO24" s="185"/>
      <c r="BP24" s="185"/>
      <c r="BQ24" s="185"/>
      <c r="BR24" s="185"/>
      <c r="BS24" s="185"/>
      <c r="BT24" s="185"/>
      <c r="BU24" s="185"/>
      <c r="BV24" s="185"/>
      <c r="BW24" s="185"/>
      <c r="BX24" s="185"/>
      <c r="BY24" s="185"/>
      <c r="BZ24" s="185"/>
      <c r="CA24" s="185"/>
      <c r="CB24" s="185"/>
      <c r="CC24" s="185"/>
      <c r="CD24" s="185"/>
    </row>
    <row r="25" spans="4:82" s="183" customFormat="1" ht="39.75" customHeight="1">
      <c r="D25" s="370">
        <v>6</v>
      </c>
      <c r="E25" s="354"/>
      <c r="F25" s="354"/>
      <c r="G25" s="356"/>
      <c r="H25" s="354"/>
      <c r="I25" s="358"/>
      <c r="J25" s="358"/>
      <c r="K25" s="358"/>
      <c r="L25" s="348"/>
      <c r="M25" s="366"/>
      <c r="N25" s="366"/>
      <c r="O25" s="348"/>
      <c r="P25" s="350" t="str">
        <f t="shared" si="28"/>
        <v/>
      </c>
      <c r="Q25" s="352" t="str">
        <f t="shared" ref="Q25" si="30">IF(P25="","",IF(P25="Muy Baja",0.2,IF(P25="Baja",0.4,IF(P25="Media",0.6,IF(P25="Alta",0.8,IF(P25="Muy Alta",1,))))))</f>
        <v/>
      </c>
      <c r="R25" s="372"/>
      <c r="S25" s="350"/>
      <c r="T25" s="352"/>
      <c r="U25" s="350"/>
      <c r="V25" s="192"/>
      <c r="W25" s="193"/>
      <c r="X25" s="194"/>
      <c r="Y25" s="227"/>
      <c r="Z25" s="228"/>
      <c r="AA25" s="228"/>
      <c r="AB25" s="229"/>
      <c r="AC25" s="228"/>
      <c r="AD25" s="228"/>
      <c r="AE25" s="228"/>
      <c r="AF25" s="215"/>
      <c r="AG25" s="198"/>
      <c r="AH25" s="199"/>
      <c r="AI25" s="197"/>
      <c r="AJ25" s="199"/>
      <c r="AK25" s="197"/>
      <c r="AL25" s="199"/>
      <c r="AM25" s="360" t="s">
        <v>75</v>
      </c>
      <c r="AN25" s="192">
        <v>1</v>
      </c>
      <c r="AO25" s="358"/>
      <c r="AP25" s="362"/>
      <c r="AQ25" s="364"/>
      <c r="AR25" s="364"/>
      <c r="AS25" s="364"/>
      <c r="AT25" s="385"/>
      <c r="AU25" s="221"/>
      <c r="AV25" s="221"/>
      <c r="AW25" s="221"/>
      <c r="AX25" s="221"/>
      <c r="AY25" s="221"/>
      <c r="AZ25" s="336"/>
      <c r="BA25" s="219"/>
      <c r="BB25" s="219"/>
      <c r="BC25" s="329"/>
      <c r="BD25" s="222"/>
      <c r="BE25" s="185"/>
      <c r="BF25" s="185"/>
      <c r="BG25" s="185"/>
      <c r="BH25" s="185"/>
      <c r="BI25" s="185"/>
      <c r="BJ25" s="185"/>
      <c r="BK25" s="185"/>
      <c r="BL25" s="185"/>
      <c r="BM25" s="185"/>
      <c r="BN25" s="185"/>
      <c r="BO25" s="185"/>
      <c r="BP25" s="185"/>
      <c r="BQ25" s="185"/>
      <c r="BR25" s="185"/>
      <c r="BS25" s="185"/>
      <c r="BT25" s="185"/>
      <c r="BU25" s="185"/>
      <c r="BV25" s="185"/>
      <c r="BW25" s="185"/>
      <c r="BX25" s="185"/>
      <c r="BY25" s="185"/>
      <c r="BZ25" s="185"/>
      <c r="CA25" s="185"/>
      <c r="CB25" s="185"/>
      <c r="CC25" s="185"/>
      <c r="CD25" s="185"/>
    </row>
    <row r="26" spans="4:82" s="183" customFormat="1" ht="39.75" customHeight="1">
      <c r="D26" s="371"/>
      <c r="E26" s="355"/>
      <c r="F26" s="355"/>
      <c r="G26" s="357"/>
      <c r="H26" s="355"/>
      <c r="I26" s="359"/>
      <c r="J26" s="359"/>
      <c r="K26" s="359"/>
      <c r="L26" s="349"/>
      <c r="M26" s="367"/>
      <c r="N26" s="367"/>
      <c r="O26" s="349"/>
      <c r="P26" s="351"/>
      <c r="Q26" s="353"/>
      <c r="R26" s="373"/>
      <c r="S26" s="351"/>
      <c r="T26" s="353"/>
      <c r="U26" s="351"/>
      <c r="V26" s="200"/>
      <c r="W26" s="193"/>
      <c r="X26" s="194"/>
      <c r="Y26" s="227"/>
      <c r="Z26" s="228"/>
      <c r="AA26" s="228"/>
      <c r="AB26" s="229"/>
      <c r="AC26" s="228"/>
      <c r="AD26" s="228"/>
      <c r="AE26" s="228"/>
      <c r="AF26" s="215"/>
      <c r="AG26" s="198"/>
      <c r="AH26" s="199"/>
      <c r="AI26" s="197"/>
      <c r="AJ26" s="199"/>
      <c r="AK26" s="197"/>
      <c r="AL26" s="199"/>
      <c r="AM26" s="361"/>
      <c r="AN26" s="200">
        <v>2</v>
      </c>
      <c r="AO26" s="359"/>
      <c r="AP26" s="363"/>
      <c r="AQ26" s="365"/>
      <c r="AR26" s="365"/>
      <c r="AS26" s="365"/>
      <c r="AT26" s="386"/>
      <c r="AU26" s="221"/>
      <c r="AV26" s="221"/>
      <c r="AW26" s="221"/>
      <c r="AX26" s="221"/>
      <c r="AY26" s="221"/>
      <c r="AZ26" s="336"/>
      <c r="BA26" s="219"/>
      <c r="BB26" s="219"/>
      <c r="BC26" s="329"/>
      <c r="BD26" s="222"/>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c r="CA26" s="185"/>
      <c r="CB26" s="185"/>
      <c r="CC26" s="185"/>
      <c r="CD26" s="185"/>
    </row>
    <row r="27" spans="4:82" s="183" customFormat="1" ht="39.75" customHeight="1">
      <c r="D27" s="370">
        <v>7</v>
      </c>
      <c r="E27" s="354"/>
      <c r="F27" s="354"/>
      <c r="G27" s="356"/>
      <c r="H27" s="354"/>
      <c r="I27" s="358"/>
      <c r="J27" s="358"/>
      <c r="K27" s="358"/>
      <c r="L27" s="348"/>
      <c r="M27" s="366"/>
      <c r="N27" s="366"/>
      <c r="O27" s="348"/>
      <c r="P27" s="350" t="str">
        <f t="shared" si="28"/>
        <v/>
      </c>
      <c r="Q27" s="352" t="str">
        <f t="shared" ref="Q27" si="31">IF(P27="","",IF(P27="Muy Baja",0.2,IF(P27="Baja",0.4,IF(P27="Media",0.6,IF(P27="Alta",0.8,IF(P27="Muy Alta",1,))))))</f>
        <v/>
      </c>
      <c r="R27" s="372"/>
      <c r="S27" s="350"/>
      <c r="T27" s="352"/>
      <c r="U27" s="350"/>
      <c r="V27" s="192"/>
      <c r="W27" s="193"/>
      <c r="X27" s="194"/>
      <c r="Y27" s="227"/>
      <c r="Z27" s="228"/>
      <c r="AA27" s="228"/>
      <c r="AB27" s="229"/>
      <c r="AC27" s="228"/>
      <c r="AD27" s="228"/>
      <c r="AE27" s="228"/>
      <c r="AF27" s="215"/>
      <c r="AG27" s="198"/>
      <c r="AH27" s="199"/>
      <c r="AI27" s="197"/>
      <c r="AJ27" s="199"/>
      <c r="AK27" s="197"/>
      <c r="AL27" s="199"/>
      <c r="AM27" s="360" t="s">
        <v>75</v>
      </c>
      <c r="AN27" s="192">
        <v>1</v>
      </c>
      <c r="AO27" s="358"/>
      <c r="AP27" s="362"/>
      <c r="AQ27" s="364"/>
      <c r="AR27" s="364"/>
      <c r="AS27" s="364"/>
      <c r="AT27" s="385"/>
      <c r="AU27" s="221"/>
      <c r="AV27" s="221"/>
      <c r="AW27" s="221"/>
      <c r="AX27" s="221"/>
      <c r="AY27" s="221"/>
      <c r="AZ27" s="336"/>
      <c r="BA27" s="219"/>
      <c r="BB27" s="219"/>
      <c r="BC27" s="329"/>
      <c r="BD27" s="222"/>
      <c r="BE27" s="185"/>
      <c r="BF27" s="185"/>
      <c r="BG27" s="185"/>
      <c r="BH27" s="185"/>
      <c r="BI27" s="185"/>
      <c r="BJ27" s="185"/>
      <c r="BK27" s="185"/>
      <c r="BL27" s="185"/>
      <c r="BM27" s="185"/>
      <c r="BN27" s="185"/>
      <c r="BO27" s="185"/>
      <c r="BP27" s="185"/>
      <c r="BQ27" s="185"/>
      <c r="BR27" s="185"/>
      <c r="BS27" s="185"/>
      <c r="BT27" s="185"/>
      <c r="BU27" s="185"/>
      <c r="BV27" s="185"/>
      <c r="BW27" s="185"/>
      <c r="BX27" s="185"/>
      <c r="BY27" s="185"/>
      <c r="BZ27" s="185"/>
      <c r="CA27" s="185"/>
      <c r="CB27" s="185"/>
      <c r="CC27" s="185"/>
      <c r="CD27" s="185"/>
    </row>
    <row r="28" spans="4:82" s="183" customFormat="1" ht="39.75" customHeight="1">
      <c r="D28" s="371"/>
      <c r="E28" s="355"/>
      <c r="F28" s="355"/>
      <c r="G28" s="357"/>
      <c r="H28" s="355"/>
      <c r="I28" s="359"/>
      <c r="J28" s="359"/>
      <c r="K28" s="359"/>
      <c r="L28" s="349"/>
      <c r="M28" s="367"/>
      <c r="N28" s="367"/>
      <c r="O28" s="349"/>
      <c r="P28" s="351"/>
      <c r="Q28" s="353"/>
      <c r="R28" s="373"/>
      <c r="S28" s="351"/>
      <c r="T28" s="353"/>
      <c r="U28" s="351"/>
      <c r="V28" s="200"/>
      <c r="W28" s="193"/>
      <c r="X28" s="194"/>
      <c r="Y28" s="227"/>
      <c r="Z28" s="228"/>
      <c r="AA28" s="228"/>
      <c r="AB28" s="229"/>
      <c r="AC28" s="228"/>
      <c r="AD28" s="228"/>
      <c r="AE28" s="228"/>
      <c r="AF28" s="215"/>
      <c r="AG28" s="198"/>
      <c r="AH28" s="199"/>
      <c r="AI28" s="197"/>
      <c r="AJ28" s="199"/>
      <c r="AK28" s="197"/>
      <c r="AL28" s="199"/>
      <c r="AM28" s="361"/>
      <c r="AN28" s="200">
        <v>2</v>
      </c>
      <c r="AO28" s="359"/>
      <c r="AP28" s="363"/>
      <c r="AQ28" s="365"/>
      <c r="AR28" s="365"/>
      <c r="AS28" s="365"/>
      <c r="AT28" s="386"/>
      <c r="AU28" s="221"/>
      <c r="AV28" s="221"/>
      <c r="AW28" s="221"/>
      <c r="AX28" s="221"/>
      <c r="AY28" s="221"/>
      <c r="AZ28" s="336"/>
      <c r="BA28" s="219"/>
      <c r="BB28" s="219"/>
      <c r="BC28" s="329"/>
      <c r="BD28" s="222"/>
      <c r="BE28" s="185"/>
      <c r="BF28" s="185"/>
      <c r="BG28" s="185"/>
      <c r="BH28" s="185"/>
      <c r="BI28" s="185"/>
      <c r="BJ28" s="185"/>
      <c r="BK28" s="185"/>
      <c r="BL28" s="185"/>
      <c r="BM28" s="185"/>
      <c r="BN28" s="185"/>
      <c r="BO28" s="185"/>
      <c r="BP28" s="185"/>
      <c r="BQ28" s="185"/>
      <c r="BR28" s="185"/>
      <c r="BS28" s="185"/>
      <c r="BT28" s="185"/>
      <c r="BU28" s="185"/>
      <c r="BV28" s="185"/>
      <c r="BW28" s="185"/>
      <c r="BX28" s="185"/>
      <c r="BY28" s="185"/>
      <c r="BZ28" s="185"/>
      <c r="CA28" s="185"/>
      <c r="CB28" s="185"/>
      <c r="CC28" s="185"/>
      <c r="CD28" s="185"/>
    </row>
    <row r="29" spans="4:82" s="183" customFormat="1" ht="39.75" customHeight="1">
      <c r="D29" s="374">
        <v>8</v>
      </c>
      <c r="E29" s="354"/>
      <c r="F29" s="354"/>
      <c r="G29" s="356"/>
      <c r="H29" s="354"/>
      <c r="I29" s="358"/>
      <c r="J29" s="358"/>
      <c r="K29" s="358"/>
      <c r="L29" s="348"/>
      <c r="M29" s="366"/>
      <c r="N29" s="366"/>
      <c r="O29" s="348"/>
      <c r="P29" s="350" t="str">
        <f t="shared" si="28"/>
        <v/>
      </c>
      <c r="Q29" s="352" t="str">
        <f t="shared" ref="Q29" si="32">IF(P29="","",IF(P29="Muy Baja",0.2,IF(P29="Baja",0.4,IF(P29="Media",0.6,IF(P29="Alta",0.8,IF(P29="Muy Alta",1,))))))</f>
        <v/>
      </c>
      <c r="R29" s="372"/>
      <c r="S29" s="350"/>
      <c r="T29" s="352"/>
      <c r="U29" s="350"/>
      <c r="V29" s="192"/>
      <c r="W29" s="193"/>
      <c r="X29" s="194"/>
      <c r="Y29" s="227"/>
      <c r="Z29" s="228"/>
      <c r="AA29" s="228"/>
      <c r="AB29" s="229"/>
      <c r="AC29" s="228"/>
      <c r="AD29" s="228"/>
      <c r="AE29" s="228"/>
      <c r="AF29" s="215"/>
      <c r="AG29" s="198"/>
      <c r="AH29" s="199"/>
      <c r="AI29" s="197"/>
      <c r="AJ29" s="199"/>
      <c r="AK29" s="197"/>
      <c r="AL29" s="199"/>
      <c r="AM29" s="360" t="s">
        <v>75</v>
      </c>
      <c r="AN29" s="192">
        <v>1</v>
      </c>
      <c r="AO29" s="358"/>
      <c r="AP29" s="362"/>
      <c r="AQ29" s="364"/>
      <c r="AR29" s="364"/>
      <c r="AS29" s="364"/>
      <c r="AT29" s="385"/>
      <c r="AU29" s="221"/>
      <c r="AV29" s="221"/>
      <c r="AW29" s="221"/>
      <c r="AX29" s="221"/>
      <c r="AY29" s="221"/>
      <c r="AZ29" s="336"/>
      <c r="BA29" s="219"/>
      <c r="BB29" s="219"/>
      <c r="BC29" s="329"/>
      <c r="BD29" s="222"/>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row>
    <row r="30" spans="4:82" s="183" customFormat="1" ht="39.75" customHeight="1">
      <c r="D30" s="375"/>
      <c r="E30" s="355"/>
      <c r="F30" s="355"/>
      <c r="G30" s="357"/>
      <c r="H30" s="355"/>
      <c r="I30" s="359"/>
      <c r="J30" s="359"/>
      <c r="K30" s="359"/>
      <c r="L30" s="349"/>
      <c r="M30" s="367"/>
      <c r="N30" s="367"/>
      <c r="O30" s="349"/>
      <c r="P30" s="351"/>
      <c r="Q30" s="353"/>
      <c r="R30" s="373"/>
      <c r="S30" s="351"/>
      <c r="T30" s="353"/>
      <c r="U30" s="351"/>
      <c r="V30" s="200"/>
      <c r="W30" s="193"/>
      <c r="X30" s="194"/>
      <c r="Y30" s="227"/>
      <c r="Z30" s="228"/>
      <c r="AA30" s="228"/>
      <c r="AB30" s="229"/>
      <c r="AC30" s="228"/>
      <c r="AD30" s="228"/>
      <c r="AE30" s="228"/>
      <c r="AF30" s="215"/>
      <c r="AG30" s="198"/>
      <c r="AH30" s="199"/>
      <c r="AI30" s="197"/>
      <c r="AJ30" s="199"/>
      <c r="AK30" s="197"/>
      <c r="AL30" s="199"/>
      <c r="AM30" s="361"/>
      <c r="AN30" s="200">
        <v>2</v>
      </c>
      <c r="AO30" s="359"/>
      <c r="AP30" s="363"/>
      <c r="AQ30" s="365"/>
      <c r="AR30" s="365"/>
      <c r="AS30" s="365"/>
      <c r="AT30" s="386"/>
      <c r="AU30" s="221"/>
      <c r="AV30" s="221"/>
      <c r="AW30" s="221"/>
      <c r="AX30" s="221"/>
      <c r="AY30" s="221"/>
      <c r="AZ30" s="336"/>
      <c r="BA30" s="219"/>
      <c r="BB30" s="219"/>
      <c r="BC30" s="329"/>
      <c r="BD30" s="222"/>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row>
    <row r="31" spans="4:82" s="183" customFormat="1" ht="39.75" customHeight="1">
      <c r="D31" s="368">
        <v>9</v>
      </c>
      <c r="E31" s="354"/>
      <c r="F31" s="354"/>
      <c r="G31" s="356"/>
      <c r="H31" s="354"/>
      <c r="I31" s="358"/>
      <c r="J31" s="358"/>
      <c r="K31" s="358"/>
      <c r="L31" s="348"/>
      <c r="M31" s="366"/>
      <c r="N31" s="366"/>
      <c r="O31" s="348"/>
      <c r="P31" s="350" t="str">
        <f t="shared" si="28"/>
        <v/>
      </c>
      <c r="Q31" s="352" t="str">
        <f t="shared" ref="Q31" si="33">IF(P31="","",IF(P31="Muy Baja",0.2,IF(P31="Baja",0.4,IF(P31="Media",0.6,IF(P31="Alta",0.8,IF(P31="Muy Alta",1,))))))</f>
        <v/>
      </c>
      <c r="R31" s="372"/>
      <c r="S31" s="350" t="str">
        <f>IFERROR(VLOOKUP(R31,Criterios[],2,FALSE),"")</f>
        <v/>
      </c>
      <c r="T31" s="352" t="str">
        <f t="shared" ref="T31" si="34">IF(S31="","",IF(S31="Leve",0.2,IF(S31="Menor",0.4,IF(S31="Moderado",0.6,IF(S31="Mayor",0.8,IF(S31="Catastrófico",1,))))))</f>
        <v/>
      </c>
      <c r="U31" s="350" t="str">
        <f>IF(OR(AND(P31="Muy Baja",S31="Leve"),AND(P31="Muy Baja",S31="Menor"),AND(P31="Baja",S31="Leve")),"Bajo",IF(OR(AND(P31="Muy baja",S31="Moderado"),AND(P31="Baja",S31="Menor"),AND(P31="Baja",S31="Moderado"),AND(P31="Media",S31="Leve"),AND(P31="Media",S31="Menor"),AND(P31="Media",S31="Moderado"),AND(P31="Alta",S31="Leve"),AND(P31="Alta",S31="Menor")),"Moderado",IF(OR(AND(P31="Muy Baja",S31="Mayor"),AND(P31="Baja",S31="Mayor"),AND(P31="Media",S31="Mayor"),AND(P31="Alta",S31="Moderado"),AND(P31="Alta",S31="Mayor"),AND(P31="Muy Alta",S31="Leve"),AND(P31="Muy Alta",S31="Menor"),AND(P31="Muy Alta",S31="Moderado"),AND(P31="Muy Alta",S31="Mayor")),"Alto",IF(OR(AND(P31="Muy Baja",S31="Catastrófico"),AND(P31="Baja",S31="Catastrófico"),AND(P31="Media",S31="Catastrófico"),AND(P31="Alta",S31="Catastrófico"),AND(P31="Muy Alta",S31="Catastrófico")),"Extremo",""))))</f>
        <v/>
      </c>
      <c r="V31" s="192">
        <v>1</v>
      </c>
      <c r="W31" s="193"/>
      <c r="X31" s="194"/>
      <c r="Y31" s="227"/>
      <c r="Z31" s="228"/>
      <c r="AA31" s="228"/>
      <c r="AB31" s="229"/>
      <c r="AC31" s="228"/>
      <c r="AD31" s="228"/>
      <c r="AE31" s="228"/>
      <c r="AF31" s="215"/>
      <c r="AG31" s="198" t="str">
        <f>IFERROR(IF(Y31="Probabilidad",(Q31-(+Q31*AB31)),IF(Y31="Impacto",Q31,"")),"")</f>
        <v/>
      </c>
      <c r="AH31" s="199" t="str">
        <f t="shared" ref="AH31:AH32" si="35">IFERROR(IF(AG31="","",IF(AG31&lt;=0.2,"Muy Baja",IF(AG31&lt;=0.4,"Baja",IF(AG31&lt;=0.6,"Media",IF(AG31&lt;=0.8,"Alta","Muy Alta"))))),"")</f>
        <v/>
      </c>
      <c r="AI31" s="197" t="str">
        <f t="shared" ref="AI31:AI32" si="36">+AG31</f>
        <v/>
      </c>
      <c r="AJ31" s="199" t="str">
        <f t="shared" ref="AJ31:AJ32" si="37">IFERROR(IF(AK31="","",IF(AK31&lt;=0.2,"Leve",IF(AK31&lt;=0.4,"Menor",IF(AK31&lt;=0.6,"Moderado",IF(AK31&lt;=0.8,"Mayor","Catastrófico"))))),"")</f>
        <v/>
      </c>
      <c r="AK31" s="197" t="str">
        <f>IFERROR(IF(Y31="Impacto",(T31-(+T31*AB31)),IF(Y31="Probabilidad",T31,"")),"")</f>
        <v/>
      </c>
      <c r="AL31" s="199" t="str">
        <f t="shared" ref="AL31:AL32" si="38">IFERROR(IF(OR(AND(AH31="Muy Baja",AJ31="Leve"),AND(AH31="Muy Baja",AJ31="Menor"),AND(AH31="Baja",AJ31="Leve")),"Bajo",IF(OR(AND(AH31="Muy baja",AJ31="Moderado"),AND(AH31="Baja",AJ31="Menor"),AND(AH31="Baja",AJ31="Moderado"),AND(AH31="Media",AJ31="Leve"),AND(AH31="Media",AJ31="Menor"),AND(AH31="Media",AJ31="Moderado"),AND(AH31="Alta",AJ31="Leve"),AND(AH31="Alta",AJ31="Menor")),"Moderado",IF(OR(AND(AH31="Muy Baja",AJ31="Mayor"),AND(AH31="Baja",AJ31="Mayor"),AND(AH31="Media",AJ31="Mayor"),AND(AH31="Alta",AJ31="Moderado"),AND(AH31="Alta",AJ31="Mayor"),AND(AH31="Muy Alta",AJ31="Leve"),AND(AH31="Muy Alta",AJ31="Menor"),AND(AH31="Muy Alta",AJ31="Moderado"),AND(AH31="Muy Alta",AJ31="Mayor")),"Alto",IF(OR(AND(AH31="Muy Baja",AJ31="Catastrófico"),AND(AH31="Baja",AJ31="Catastrófico"),AND(AH31="Media",AJ31="Catastrófico"),AND(AH31="Alta",AJ31="Catastrófico"),AND(AH31="Muy Alta",AJ31="Catastrófico")),"Extremo","")))),"")</f>
        <v/>
      </c>
      <c r="AM31" s="360" t="s">
        <v>75</v>
      </c>
      <c r="AN31" s="192">
        <v>1</v>
      </c>
      <c r="AO31" s="358"/>
      <c r="AP31" s="362"/>
      <c r="AQ31" s="364"/>
      <c r="AR31" s="364"/>
      <c r="AS31" s="364"/>
      <c r="AT31" s="385"/>
      <c r="AU31" s="221"/>
      <c r="AV31" s="221"/>
      <c r="AW31" s="221"/>
      <c r="AX31" s="221"/>
      <c r="AY31" s="221"/>
      <c r="AZ31" s="336"/>
      <c r="BA31" s="219"/>
      <c r="BB31" s="219"/>
      <c r="BC31" s="329"/>
      <c r="BD31" s="222"/>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row>
    <row r="32" spans="4:82" s="183" customFormat="1" ht="39.75" customHeight="1">
      <c r="D32" s="369"/>
      <c r="E32" s="355"/>
      <c r="F32" s="355"/>
      <c r="G32" s="357"/>
      <c r="H32" s="355"/>
      <c r="I32" s="359"/>
      <c r="J32" s="359"/>
      <c r="K32" s="359"/>
      <c r="L32" s="349"/>
      <c r="M32" s="367"/>
      <c r="N32" s="367"/>
      <c r="O32" s="349"/>
      <c r="P32" s="351"/>
      <c r="Q32" s="353"/>
      <c r="R32" s="373"/>
      <c r="S32" s="351"/>
      <c r="T32" s="353"/>
      <c r="U32" s="351"/>
      <c r="V32" s="200">
        <v>2</v>
      </c>
      <c r="W32" s="193"/>
      <c r="X32" s="194"/>
      <c r="Y32" s="227"/>
      <c r="Z32" s="228"/>
      <c r="AA32" s="228"/>
      <c r="AB32" s="229"/>
      <c r="AC32" s="228"/>
      <c r="AD32" s="228"/>
      <c r="AE32" s="228"/>
      <c r="AF32" s="217"/>
      <c r="AG32" s="198" t="str">
        <f>IFERROR(IF(Y32="Probabilidad",(Q31-(+Q32*AB32)),IF(Y32="Impacto",Q32,"")),"")</f>
        <v/>
      </c>
      <c r="AH32" s="199" t="str">
        <f t="shared" si="35"/>
        <v/>
      </c>
      <c r="AI32" s="197" t="str">
        <f t="shared" si="36"/>
        <v/>
      </c>
      <c r="AJ32" s="199" t="str">
        <f t="shared" si="37"/>
        <v/>
      </c>
      <c r="AK32" s="197" t="str">
        <f t="shared" ref="AK32" si="39">IFERROR(IF(Y32="Impacto",(T31-(+T31*AB32)),IF(Y32="Probabilidad",T31,"")),"")</f>
        <v/>
      </c>
      <c r="AL32" s="199" t="str">
        <f t="shared" si="38"/>
        <v/>
      </c>
      <c r="AM32" s="361"/>
      <c r="AN32" s="200">
        <v>2</v>
      </c>
      <c r="AO32" s="359"/>
      <c r="AP32" s="363"/>
      <c r="AQ32" s="365"/>
      <c r="AR32" s="365"/>
      <c r="AS32" s="365"/>
      <c r="AT32" s="386"/>
      <c r="AU32" s="221"/>
      <c r="AV32" s="221"/>
      <c r="AW32" s="221"/>
      <c r="AX32" s="221"/>
      <c r="AY32" s="221"/>
      <c r="AZ32" s="337"/>
      <c r="BA32" s="219"/>
      <c r="BB32" s="219"/>
      <c r="BC32" s="330"/>
      <c r="BD32" s="222"/>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row>
    <row r="33" spans="4:60" ht="49.5" customHeight="1">
      <c r="D33" s="186"/>
      <c r="E33" s="187"/>
      <c r="F33" s="187"/>
      <c r="G33" s="187"/>
      <c r="H33" s="187"/>
      <c r="I33" s="384" t="s">
        <v>76</v>
      </c>
      <c r="J33" s="384"/>
      <c r="K33" s="384"/>
      <c r="L33" s="384"/>
      <c r="M33" s="384"/>
      <c r="N33" s="384"/>
      <c r="O33" s="384"/>
      <c r="P33" s="384"/>
      <c r="Q33" s="384"/>
      <c r="R33" s="384"/>
      <c r="S33" s="384"/>
      <c r="T33" s="384"/>
      <c r="U33" s="384"/>
      <c r="V33" s="384"/>
      <c r="W33" s="384"/>
      <c r="X33" s="384"/>
      <c r="Y33" s="384"/>
      <c r="Z33" s="384"/>
      <c r="AA33" s="384"/>
      <c r="AB33" s="384"/>
      <c r="AC33" s="384"/>
      <c r="AD33" s="384"/>
      <c r="AE33" s="384"/>
      <c r="AF33" s="384"/>
      <c r="AG33" s="384"/>
      <c r="AH33" s="384"/>
      <c r="AI33" s="384"/>
      <c r="AJ33" s="384"/>
      <c r="AK33" s="384"/>
      <c r="AL33" s="384"/>
      <c r="AM33" s="384"/>
      <c r="AN33" s="384"/>
      <c r="AO33" s="384"/>
      <c r="AP33" s="384"/>
      <c r="AQ33" s="384"/>
      <c r="AR33" s="384"/>
      <c r="AS33" s="384"/>
      <c r="AT33" s="384"/>
      <c r="AU33" s="384"/>
      <c r="AV33" s="384"/>
      <c r="AW33" s="384"/>
      <c r="AX33" s="384"/>
      <c r="AY33" s="384"/>
    </row>
    <row r="35" spans="4:60" ht="15.75">
      <c r="D35" s="104"/>
      <c r="E35" s="105"/>
      <c r="F35" s="105"/>
      <c r="G35" s="105"/>
      <c r="H35" s="105"/>
      <c r="I35" s="105"/>
      <c r="J35" s="105"/>
      <c r="K35" s="105"/>
      <c r="L35" s="169"/>
      <c r="M35" s="169"/>
      <c r="N35" s="169"/>
      <c r="P35" s="106"/>
      <c r="Q35" s="105"/>
      <c r="R35" s="105"/>
      <c r="S35" s="105"/>
      <c r="T35" s="105"/>
      <c r="U35" s="105"/>
      <c r="V35" s="105"/>
      <c r="W35" s="105"/>
      <c r="X35" s="105"/>
      <c r="Y35" s="107"/>
      <c r="Z35" s="107"/>
      <c r="AA35" s="105"/>
      <c r="AB35" s="105"/>
      <c r="AC35" s="105"/>
      <c r="AD35" s="105"/>
      <c r="AE35" s="105"/>
      <c r="AF35" s="105"/>
      <c r="AG35" s="105"/>
      <c r="AH35" s="105"/>
      <c r="AI35" s="105"/>
      <c r="AJ35" s="105"/>
      <c r="AK35" s="105"/>
      <c r="AL35" s="105"/>
      <c r="AM35" s="108"/>
      <c r="AN35" s="108"/>
      <c r="AO35" s="108"/>
      <c r="AP35" s="105"/>
      <c r="AQ35" s="105"/>
      <c r="AR35" s="105"/>
      <c r="AS35" s="105"/>
      <c r="AT35" s="105"/>
      <c r="AU35" s="105"/>
      <c r="AV35" s="105"/>
      <c r="AW35" s="105"/>
      <c r="AX35" s="105"/>
      <c r="AY35" s="105"/>
      <c r="AZ35" s="105"/>
      <c r="BA35" s="105"/>
    </row>
    <row r="36" spans="4:60" ht="18">
      <c r="D36" s="380" t="s">
        <v>140</v>
      </c>
      <c r="E36" s="380"/>
      <c r="F36" s="380"/>
      <c r="G36" s="380"/>
      <c r="H36" s="380"/>
      <c r="I36" s="380"/>
      <c r="J36" s="380"/>
      <c r="K36" s="380"/>
      <c r="L36" s="169"/>
      <c r="M36" s="169"/>
      <c r="N36" s="169"/>
      <c r="O36" s="381"/>
      <c r="P36" s="382"/>
      <c r="Q36" s="382"/>
      <c r="R36" s="383"/>
      <c r="S36" s="105"/>
      <c r="T36" s="105"/>
      <c r="U36" s="105"/>
      <c r="V36" s="105"/>
      <c r="W36" s="105"/>
      <c r="X36" s="108"/>
      <c r="Y36" s="107"/>
      <c r="Z36" s="107"/>
      <c r="AA36" s="105"/>
      <c r="AB36" s="107"/>
      <c r="AC36" s="107"/>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H36" s="169" t="s">
        <v>78</v>
      </c>
    </row>
    <row r="37" spans="4:60" ht="15" thickBot="1">
      <c r="D37" s="169"/>
      <c r="E37" s="169"/>
      <c r="F37" s="169"/>
      <c r="G37" s="169"/>
      <c r="H37" s="169"/>
      <c r="I37" s="169"/>
      <c r="J37" s="169"/>
      <c r="L37" s="169"/>
      <c r="M37" s="169"/>
      <c r="N37" s="169"/>
      <c r="P37" s="171" t="str">
        <f>+IFERROR(VLOOKUP(L37,$L$192:$P$196,3,FALSE)*VLOOKUP(O37,$O$192:$P$196,3,FALSE),"")</f>
        <v/>
      </c>
      <c r="Y37" s="171"/>
      <c r="Z37" s="188"/>
      <c r="AB37" s="188"/>
      <c r="AC37" s="188"/>
      <c r="AD37" s="189"/>
      <c r="AE37" s="189"/>
      <c r="AF37" s="189"/>
      <c r="AG37" s="189"/>
      <c r="AH37" s="189"/>
      <c r="AI37" s="109"/>
      <c r="AJ37" s="109"/>
      <c r="AK37" s="189"/>
      <c r="AL37" s="190"/>
      <c r="AQ37" s="189"/>
      <c r="AR37" s="189"/>
      <c r="AY37" s="189"/>
      <c r="AZ37" s="189"/>
      <c r="BH37" s="169" t="s">
        <v>79</v>
      </c>
    </row>
    <row r="38" spans="4:60" ht="17.850000000000001" customHeight="1" thickTop="1" thickBot="1">
      <c r="D38" s="379" t="s">
        <v>80</v>
      </c>
      <c r="E38" s="379"/>
      <c r="F38" s="379"/>
      <c r="G38" s="379"/>
      <c r="H38" s="379"/>
      <c r="I38" s="379"/>
      <c r="J38" s="379"/>
      <c r="K38" s="208" t="s">
        <v>81</v>
      </c>
      <c r="L38" s="379" t="s">
        <v>82</v>
      </c>
      <c r="M38" s="379"/>
      <c r="N38" s="379"/>
      <c r="O38" s="379"/>
      <c r="P38" s="379"/>
      <c r="Q38" s="379"/>
      <c r="R38" s="379"/>
      <c r="S38" s="376" t="s">
        <v>83</v>
      </c>
      <c r="T38" s="376"/>
      <c r="U38" s="376"/>
      <c r="V38" s="379" t="s">
        <v>84</v>
      </c>
      <c r="W38" s="379"/>
      <c r="X38" s="379"/>
      <c r="Y38" s="379"/>
      <c r="Z38" s="376">
        <v>1</v>
      </c>
      <c r="AA38" s="376"/>
      <c r="AB38" s="376"/>
      <c r="AC38" s="376"/>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0"/>
      <c r="BH38" s="169" t="s">
        <v>85</v>
      </c>
    </row>
    <row r="39" spans="4:60" ht="13.5" customHeight="1" thickTop="1">
      <c r="D39" s="377" t="s">
        <v>86</v>
      </c>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BH39" s="169" t="s">
        <v>87</v>
      </c>
    </row>
  </sheetData>
  <protectedRanges>
    <protectedRange sqref="P1:P1048576" name="Rango1_1"/>
  </protectedRanges>
  <mergeCells count="300">
    <mergeCell ref="AT15:AT16"/>
    <mergeCell ref="AT17:AT18"/>
    <mergeCell ref="AT19:AT20"/>
    <mergeCell ref="AT21:AT22"/>
    <mergeCell ref="AT23:AT24"/>
    <mergeCell ref="AT25:AT26"/>
    <mergeCell ref="AT27:AT28"/>
    <mergeCell ref="AT29:AT30"/>
    <mergeCell ref="AT31:AT32"/>
    <mergeCell ref="AS15:AS16"/>
    <mergeCell ref="AS17:AS18"/>
    <mergeCell ref="AS19:AS20"/>
    <mergeCell ref="AS21:AS22"/>
    <mergeCell ref="AS23:AS24"/>
    <mergeCell ref="AS25:AS26"/>
    <mergeCell ref="AS27:AS28"/>
    <mergeCell ref="AS29:AS30"/>
    <mergeCell ref="D36:K36"/>
    <mergeCell ref="O36:R36"/>
    <mergeCell ref="AM31:AM32"/>
    <mergeCell ref="AO31:AO32"/>
    <mergeCell ref="AP31:AP32"/>
    <mergeCell ref="AQ31:AQ32"/>
    <mergeCell ref="AR31:AR32"/>
    <mergeCell ref="I33:AY33"/>
    <mergeCell ref="AS31:AS32"/>
    <mergeCell ref="P31:P32"/>
    <mergeCell ref="U31:U32"/>
    <mergeCell ref="J31:J32"/>
    <mergeCell ref="K31:K32"/>
    <mergeCell ref="L31:L32"/>
    <mergeCell ref="M31:M32"/>
    <mergeCell ref="N31:N32"/>
    <mergeCell ref="O31:O32"/>
    <mergeCell ref="Z38:AC38"/>
    <mergeCell ref="D39:AC39"/>
    <mergeCell ref="D38:J38"/>
    <mergeCell ref="L38:R38"/>
    <mergeCell ref="S38:U38"/>
    <mergeCell ref="V38:Y38"/>
    <mergeCell ref="U29:U30"/>
    <mergeCell ref="AM29:AM30"/>
    <mergeCell ref="D31:D32"/>
    <mergeCell ref="E31:E32"/>
    <mergeCell ref="F31:F32"/>
    <mergeCell ref="G31:G32"/>
    <mergeCell ref="H31:H32"/>
    <mergeCell ref="I31:I32"/>
    <mergeCell ref="Q31:Q32"/>
    <mergeCell ref="R31:R32"/>
    <mergeCell ref="S31:S32"/>
    <mergeCell ref="T31:T32"/>
    <mergeCell ref="AO29:AO30"/>
    <mergeCell ref="I29:I30"/>
    <mergeCell ref="J29:J30"/>
    <mergeCell ref="K29:K30"/>
    <mergeCell ref="L29:L30"/>
    <mergeCell ref="M29:M30"/>
    <mergeCell ref="N29:N30"/>
    <mergeCell ref="P29:P30"/>
    <mergeCell ref="Q29:Q30"/>
    <mergeCell ref="R29:R30"/>
    <mergeCell ref="S29:S30"/>
    <mergeCell ref="T29:T30"/>
    <mergeCell ref="AR27:AR28"/>
    <mergeCell ref="D29:D30"/>
    <mergeCell ref="E29:E30"/>
    <mergeCell ref="F29:F30"/>
    <mergeCell ref="G29:G30"/>
    <mergeCell ref="H29:H30"/>
    <mergeCell ref="P27:P28"/>
    <mergeCell ref="Q27:Q28"/>
    <mergeCell ref="R27:R28"/>
    <mergeCell ref="S27:S28"/>
    <mergeCell ref="T27:T28"/>
    <mergeCell ref="U27:U28"/>
    <mergeCell ref="J27:J28"/>
    <mergeCell ref="K27:K28"/>
    <mergeCell ref="L27:L28"/>
    <mergeCell ref="M27:M28"/>
    <mergeCell ref="N27:N28"/>
    <mergeCell ref="O27:O28"/>
    <mergeCell ref="D27:D28"/>
    <mergeCell ref="E27:E28"/>
    <mergeCell ref="AP29:AP30"/>
    <mergeCell ref="AQ29:AQ30"/>
    <mergeCell ref="AR29:AR30"/>
    <mergeCell ref="O29:O30"/>
    <mergeCell ref="F27:F28"/>
    <mergeCell ref="G27:G28"/>
    <mergeCell ref="H27:H28"/>
    <mergeCell ref="I27:I28"/>
    <mergeCell ref="U25:U26"/>
    <mergeCell ref="AM25:AM26"/>
    <mergeCell ref="AO25:AO26"/>
    <mergeCell ref="AP25:AP26"/>
    <mergeCell ref="AQ25:AQ26"/>
    <mergeCell ref="AM27:AM28"/>
    <mergeCell ref="AO27:AO28"/>
    <mergeCell ref="AP27:AP28"/>
    <mergeCell ref="AQ27:AQ28"/>
    <mergeCell ref="R25:R26"/>
    <mergeCell ref="S25:S26"/>
    <mergeCell ref="T25:T26"/>
    <mergeCell ref="I25:I26"/>
    <mergeCell ref="J25:J26"/>
    <mergeCell ref="K25:K26"/>
    <mergeCell ref="L25:L26"/>
    <mergeCell ref="M25:M26"/>
    <mergeCell ref="N25:N26"/>
    <mergeCell ref="AR23:AR24"/>
    <mergeCell ref="D25:D26"/>
    <mergeCell ref="E25:E26"/>
    <mergeCell ref="F25:F26"/>
    <mergeCell ref="G25:G26"/>
    <mergeCell ref="H25:H26"/>
    <mergeCell ref="P23:P24"/>
    <mergeCell ref="Q23:Q24"/>
    <mergeCell ref="R23:R24"/>
    <mergeCell ref="S23:S24"/>
    <mergeCell ref="T23:T24"/>
    <mergeCell ref="U23:U24"/>
    <mergeCell ref="J23:J24"/>
    <mergeCell ref="K23:K24"/>
    <mergeCell ref="L23:L24"/>
    <mergeCell ref="M23:M24"/>
    <mergeCell ref="N23:N24"/>
    <mergeCell ref="O23:O24"/>
    <mergeCell ref="D23:D24"/>
    <mergeCell ref="E23:E24"/>
    <mergeCell ref="AR25:AR26"/>
    <mergeCell ref="O25:O26"/>
    <mergeCell ref="P25:P26"/>
    <mergeCell ref="Q25:Q26"/>
    <mergeCell ref="F23:F24"/>
    <mergeCell ref="G23:G24"/>
    <mergeCell ref="H23:H24"/>
    <mergeCell ref="I23:I24"/>
    <mergeCell ref="U21:U22"/>
    <mergeCell ref="AM21:AM22"/>
    <mergeCell ref="AO21:AO22"/>
    <mergeCell ref="AP21:AP22"/>
    <mergeCell ref="AQ21:AQ22"/>
    <mergeCell ref="AM23:AM24"/>
    <mergeCell ref="AO23:AO24"/>
    <mergeCell ref="AP23:AP24"/>
    <mergeCell ref="AQ23:AQ24"/>
    <mergeCell ref="P21:P22"/>
    <mergeCell ref="Q21:Q22"/>
    <mergeCell ref="R21:R22"/>
    <mergeCell ref="S21:S22"/>
    <mergeCell ref="T21:T22"/>
    <mergeCell ref="I21:I22"/>
    <mergeCell ref="J21:J22"/>
    <mergeCell ref="K21:K22"/>
    <mergeCell ref="L21:L22"/>
    <mergeCell ref="M21:M22"/>
    <mergeCell ref="N21:N22"/>
    <mergeCell ref="AP19:AP20"/>
    <mergeCell ref="AQ19:AQ20"/>
    <mergeCell ref="AR19:AR20"/>
    <mergeCell ref="D21:D22"/>
    <mergeCell ref="E21:E22"/>
    <mergeCell ref="F21:F22"/>
    <mergeCell ref="G21:G22"/>
    <mergeCell ref="H21:H22"/>
    <mergeCell ref="P19:P20"/>
    <mergeCell ref="Q19:Q20"/>
    <mergeCell ref="R19:R20"/>
    <mergeCell ref="S19:S20"/>
    <mergeCell ref="T19:T20"/>
    <mergeCell ref="U19:U20"/>
    <mergeCell ref="J19:J20"/>
    <mergeCell ref="K19:K20"/>
    <mergeCell ref="L19:L20"/>
    <mergeCell ref="M19:M20"/>
    <mergeCell ref="N19:N20"/>
    <mergeCell ref="O19:O20"/>
    <mergeCell ref="D19:D20"/>
    <mergeCell ref="E19:E20"/>
    <mergeCell ref="AR21:AR22"/>
    <mergeCell ref="O21:O22"/>
    <mergeCell ref="F19:F20"/>
    <mergeCell ref="G19:G20"/>
    <mergeCell ref="H19:H20"/>
    <mergeCell ref="I19:I20"/>
    <mergeCell ref="S17:S18"/>
    <mergeCell ref="T17:T18"/>
    <mergeCell ref="U17:U18"/>
    <mergeCell ref="AM17:AM18"/>
    <mergeCell ref="AM19:AM20"/>
    <mergeCell ref="AO19:AO20"/>
    <mergeCell ref="M17:M18"/>
    <mergeCell ref="N17:N18"/>
    <mergeCell ref="O17:O18"/>
    <mergeCell ref="P17:P18"/>
    <mergeCell ref="Q17:Q18"/>
    <mergeCell ref="R17:R18"/>
    <mergeCell ref="BC15:BC32"/>
    <mergeCell ref="D17:D18"/>
    <mergeCell ref="E17:E18"/>
    <mergeCell ref="F17:F18"/>
    <mergeCell ref="G17:G18"/>
    <mergeCell ref="H17:H18"/>
    <mergeCell ref="I17:I18"/>
    <mergeCell ref="J17:J18"/>
    <mergeCell ref="K17:K18"/>
    <mergeCell ref="L17:L18"/>
    <mergeCell ref="AO15:AO16"/>
    <mergeCell ref="AP15:AP16"/>
    <mergeCell ref="AQ15:AQ16"/>
    <mergeCell ref="AR15:AR16"/>
    <mergeCell ref="AZ15:AZ32"/>
    <mergeCell ref="AR17:AR18"/>
    <mergeCell ref="Q15:Q16"/>
    <mergeCell ref="R15:R16"/>
    <mergeCell ref="S15:S16"/>
    <mergeCell ref="T15:T16"/>
    <mergeCell ref="U15:U16"/>
    <mergeCell ref="AM15:AM16"/>
    <mergeCell ref="K15:K16"/>
    <mergeCell ref="L15:L16"/>
    <mergeCell ref="M15:M16"/>
    <mergeCell ref="N15:N16"/>
    <mergeCell ref="O15:O16"/>
    <mergeCell ref="P15:P16"/>
    <mergeCell ref="W15:W16"/>
    <mergeCell ref="X15:X16"/>
    <mergeCell ref="BB13:BB14"/>
    <mergeCell ref="BC13:BC14"/>
    <mergeCell ref="BD13:BD14"/>
    <mergeCell ref="D15:D16"/>
    <mergeCell ref="E15:E16"/>
    <mergeCell ref="F15:F16"/>
    <mergeCell ref="G15:G16"/>
    <mergeCell ref="H15:H16"/>
    <mergeCell ref="I15:I16"/>
    <mergeCell ref="J15:J16"/>
    <mergeCell ref="AV13:AV14"/>
    <mergeCell ref="AW13:AW14"/>
    <mergeCell ref="AX13:AX14"/>
    <mergeCell ref="AY13:AY14"/>
    <mergeCell ref="AZ13:AZ14"/>
    <mergeCell ref="BA13:BA14"/>
    <mergeCell ref="AP13:AP14"/>
    <mergeCell ref="AQ13:AQ14"/>
    <mergeCell ref="AR13:AR14"/>
    <mergeCell ref="AS13:AS14"/>
    <mergeCell ref="AT13:AT14"/>
    <mergeCell ref="AU13:AU14"/>
    <mergeCell ref="AJ13:AJ14"/>
    <mergeCell ref="AK13:AK14"/>
    <mergeCell ref="AO13:AO14"/>
    <mergeCell ref="X13:X14"/>
    <mergeCell ref="Y13:Y14"/>
    <mergeCell ref="Z13:AE13"/>
    <mergeCell ref="AG13:AG14"/>
    <mergeCell ref="AH13:AH14"/>
    <mergeCell ref="AI13:AI14"/>
    <mergeCell ref="AF12:AF14"/>
    <mergeCell ref="AG12:AM12"/>
    <mergeCell ref="AO12:AR12"/>
    <mergeCell ref="D13:D14"/>
    <mergeCell ref="E13:E14"/>
    <mergeCell ref="F13:F14"/>
    <mergeCell ref="G13:G14"/>
    <mergeCell ref="H13:H14"/>
    <mergeCell ref="I13:I14"/>
    <mergeCell ref="J13:J14"/>
    <mergeCell ref="D9:G9"/>
    <mergeCell ref="H9:BD9"/>
    <mergeCell ref="R13:R14"/>
    <mergeCell ref="S13:S14"/>
    <mergeCell ref="T13:T14"/>
    <mergeCell ref="U13:U14"/>
    <mergeCell ref="V13:V14"/>
    <mergeCell ref="W13:W14"/>
    <mergeCell ref="K13:K14"/>
    <mergeCell ref="L13:L14"/>
    <mergeCell ref="M13:N13"/>
    <mergeCell ref="O13:O14"/>
    <mergeCell ref="P13:P14"/>
    <mergeCell ref="Q13:Q14"/>
    <mergeCell ref="AL13:AL14"/>
    <mergeCell ref="AM13:AM14"/>
    <mergeCell ref="AN13:AN14"/>
    <mergeCell ref="A11:C11"/>
    <mergeCell ref="D11:AR11"/>
    <mergeCell ref="AS11:AY12"/>
    <mergeCell ref="AZ11:BB12"/>
    <mergeCell ref="BC11:BD12"/>
    <mergeCell ref="D12:O12"/>
    <mergeCell ref="P12:U12"/>
    <mergeCell ref="V12:AE12"/>
    <mergeCell ref="D2:H5"/>
    <mergeCell ref="I2:BC5"/>
    <mergeCell ref="D7:G7"/>
    <mergeCell ref="H7:BD7"/>
    <mergeCell ref="D8:G8"/>
    <mergeCell ref="H8:BD8"/>
  </mergeCells>
  <conditionalFormatting sqref="P15 P17 P19 P21 P23 P25 P27 P29 P31">
    <cfRule type="cellIs" dxfId="48" priority="41" operator="equal">
      <formula>"Baja"</formula>
    </cfRule>
    <cfRule type="cellIs" dxfId="47" priority="40" operator="equal">
      <formula>"Media"</formula>
    </cfRule>
    <cfRule type="cellIs" dxfId="46" priority="39" operator="equal">
      <formula>"Alta"</formula>
    </cfRule>
    <cfRule type="cellIs" dxfId="45" priority="38" operator="equal">
      <formula>"Muy Alta"</formula>
    </cfRule>
    <cfRule type="cellIs" dxfId="44" priority="42" operator="equal">
      <formula>"Muy Baja"</formula>
    </cfRule>
  </conditionalFormatting>
  <conditionalFormatting sqref="S15 S17 S19 S21">
    <cfRule type="cellIs" dxfId="43" priority="20" operator="equal">
      <formula>"Mayor"</formula>
    </cfRule>
    <cfRule type="cellIs" dxfId="42" priority="22" operator="equal">
      <formula>"Menor"</formula>
    </cfRule>
    <cfRule type="cellIs" dxfId="41" priority="21" operator="equal">
      <formula>"Moderado"</formula>
    </cfRule>
    <cfRule type="cellIs" dxfId="40" priority="23" operator="equal">
      <formula>"Leve"</formula>
    </cfRule>
    <cfRule type="cellIs" dxfId="39" priority="19" operator="equal">
      <formula>"Catastrófico"</formula>
    </cfRule>
  </conditionalFormatting>
  <conditionalFormatting sqref="S23 S25 S27 S29 S31">
    <cfRule type="cellIs" dxfId="38" priority="37" operator="equal">
      <formula>"Leve"</formula>
    </cfRule>
    <cfRule type="cellIs" dxfId="37" priority="36" operator="equal">
      <formula>"Menor"</formula>
    </cfRule>
    <cfRule type="cellIs" dxfId="36" priority="35" operator="equal">
      <formula>"Moderado"</formula>
    </cfRule>
    <cfRule type="cellIs" dxfId="35" priority="34" operator="equal">
      <formula>"Mayor"</formula>
    </cfRule>
    <cfRule type="cellIs" dxfId="34" priority="33" operator="equal">
      <formula>"Catastrófico"</formula>
    </cfRule>
  </conditionalFormatting>
  <conditionalFormatting sqref="U15 U17 U19 U21">
    <cfRule type="cellIs" dxfId="33" priority="16" operator="equal">
      <formula>"Alto"</formula>
    </cfRule>
    <cfRule type="cellIs" dxfId="32" priority="18" operator="equal">
      <formula>"Bajo"</formula>
    </cfRule>
    <cfRule type="cellIs" dxfId="31" priority="17" operator="equal">
      <formula>"Moderado"</formula>
    </cfRule>
    <cfRule type="cellIs" dxfId="30" priority="15" operator="equal">
      <formula>"Extremo"</formula>
    </cfRule>
  </conditionalFormatting>
  <conditionalFormatting sqref="U23 U25 U27 U29 U31">
    <cfRule type="cellIs" dxfId="29" priority="29" operator="equal">
      <formula>"Extremo"</formula>
    </cfRule>
    <cfRule type="cellIs" dxfId="28" priority="30" operator="equal">
      <formula>"Alto"</formula>
    </cfRule>
    <cfRule type="cellIs" dxfId="27" priority="31" operator="equal">
      <formula>"Moderado"</formula>
    </cfRule>
    <cfRule type="cellIs" dxfId="26" priority="32" operator="equal">
      <formula>"Bajo"</formula>
    </cfRule>
  </conditionalFormatting>
  <conditionalFormatting sqref="AH15:AH32">
    <cfRule type="cellIs" dxfId="25" priority="11" operator="equal">
      <formula>"Alta"</formula>
    </cfRule>
    <cfRule type="cellIs" dxfId="24" priority="14" operator="equal">
      <formula>"Muy Baja"</formula>
    </cfRule>
    <cfRule type="cellIs" dxfId="23" priority="13" operator="equal">
      <formula>"Baja"</formula>
    </cfRule>
    <cfRule type="cellIs" dxfId="22" priority="12" operator="equal">
      <formula>"Media"</formula>
    </cfRule>
    <cfRule type="cellIs" dxfId="21" priority="10" operator="equal">
      <formula>"Muy Alta"</formula>
    </cfRule>
  </conditionalFormatting>
  <conditionalFormatting sqref="AI35:AI37">
    <cfRule type="cellIs" dxfId="20" priority="25" operator="equal">
      <formula>#REF!</formula>
    </cfRule>
    <cfRule type="cellIs" dxfId="19" priority="26" operator="equal">
      <formula>#REF!</formula>
    </cfRule>
  </conditionalFormatting>
  <conditionalFormatting sqref="AI35:AJ37">
    <cfRule type="cellIs" dxfId="18" priority="24" stopIfTrue="1" operator="equal">
      <formula>#REF!</formula>
    </cfRule>
  </conditionalFormatting>
  <conditionalFormatting sqref="AJ15:AJ32">
    <cfRule type="cellIs" dxfId="17" priority="9" operator="equal">
      <formula>"Leve"</formula>
    </cfRule>
    <cfRule type="cellIs" dxfId="16" priority="6" operator="equal">
      <formula>"Mayor"</formula>
    </cfRule>
    <cfRule type="cellIs" dxfId="15" priority="8" operator="equal">
      <formula>"Menor"</formula>
    </cfRule>
    <cfRule type="cellIs" dxfId="14" priority="7" operator="equal">
      <formula>"Moderado"</formula>
    </cfRule>
    <cfRule type="cellIs" dxfId="13" priority="5" operator="equal">
      <formula>"Catastrófico"</formula>
    </cfRule>
  </conditionalFormatting>
  <conditionalFormatting sqref="AJ35:AJ37">
    <cfRule type="cellIs" dxfId="12" priority="27" stopIfTrue="1" operator="equal">
      <formula>#REF!</formula>
    </cfRule>
    <cfRule type="cellIs" dxfId="11" priority="28" stopIfTrue="1" operator="equal">
      <formula>#REF!</formula>
    </cfRule>
  </conditionalFormatting>
  <conditionalFormatting sqref="AL15:AL32">
    <cfRule type="cellIs" dxfId="10" priority="2" operator="equal">
      <formula>"Alto"</formula>
    </cfRule>
    <cfRule type="cellIs" dxfId="9" priority="3" operator="equal">
      <formula>"Moderado"</formula>
    </cfRule>
    <cfRule type="cellIs" dxfId="8" priority="1" operator="equal">
      <formula>"Extremo"</formula>
    </cfRule>
    <cfRule type="cellIs" dxfId="7" priority="4" operator="equal">
      <formula>"Bajo"</formula>
    </cfRule>
  </conditionalFormatting>
  <dataValidations count="9">
    <dataValidation type="list" allowBlank="1" showInputMessage="1" showErrorMessage="1" sqref="R15:R32" xr:uid="{FBC03069-8B61-4A2B-8C03-7D9604D88F87}">
      <formula1>Criterios_Impacto</formula1>
    </dataValidation>
    <dataValidation type="custom" allowBlank="1" showInputMessage="1" showErrorMessage="1" error="Recuerde que las acciones se generan bajo la medida de mitigar el riesgo" sqref="AP19 AP31 AP29 AP27 AP25 AP23 AP21" xr:uid="{918E41FA-4DC9-4DE0-BA1E-CCC764A67FB7}"/>
    <dataValidation type="list" allowBlank="1" showInputMessage="1" showErrorMessage="1" error="Recuerde que las acciones se generan bajo la medida de mitigar el riesgo" sqref="AY15:AY20" xr:uid="{4EB55667-5903-4011-B361-E8433D7E26DA}">
      <formula1>$BH$36:$BH$39</formula1>
    </dataValidation>
    <dataValidation type="list" allowBlank="1" showInputMessage="1" showErrorMessage="1" sqref="AB37:AH37 Z37 AQ37:AR37 AY37:AZ37" xr:uid="{007D1290-4F0E-4420-94B0-FB98CCB5C9FF}">
      <formula1>$AQ$192:$AQ$199</formula1>
    </dataValidation>
    <dataValidation type="list" allowBlank="1" showInputMessage="1" showErrorMessage="1" sqref="L37:N37" xr:uid="{7D59C88A-FB26-4739-8876-4253164EA3AD}">
      <formula1>$L$192:$L$196</formula1>
    </dataValidation>
    <dataValidation type="list" allowBlank="1" showInputMessage="1" showErrorMessage="1" sqref="O37" xr:uid="{A20D8E6B-8D0A-4AF4-8246-FDCF6F781E29}">
      <formula1>$O$192:$O$196</formula1>
    </dataValidation>
    <dataValidation type="list" allowBlank="1" showInputMessage="1" showErrorMessage="1" sqref="Y37" xr:uid="{7D9FE217-792F-44CC-9B80-ECF199663EB5}">
      <formula1>$R$192:$R$193</formula1>
    </dataValidation>
    <dataValidation type="list" allowBlank="1" showInputMessage="1" showErrorMessage="1" sqref="K37 AI37:AJ37" xr:uid="{347BA87B-03B7-43E3-9A3A-EA3B46E6AFEE}">
      <formula1>#REF!</formula1>
    </dataValidation>
    <dataValidation type="list" allowBlank="1" showInputMessage="1" showErrorMessage="1" sqref="K35" xr:uid="{21917AEB-4600-4615-9217-4D8BE31A7244}">
      <formula1>$K$192:$K$201</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2">
        <x14:dataValidation type="list" allowBlank="1" showInputMessage="1" showErrorMessage="1" error="Recuerde que las acciones se generan bajo la medida de mitigar el riesgo" xr:uid="{313876B1-D41A-47A0-B3C8-D6A439DD6529}">
          <x14:formula1>
            <xm:f>Formulas!$H$3:$H$4</xm:f>
          </x14:formula1>
          <xm:sqref>AT15 AT17:AT32</xm:sqref>
        </x14:dataValidation>
        <x14:dataValidation type="custom" allowBlank="1" showInputMessage="1" showErrorMessage="1" error="Recuerde que las acciones se generan bajo la medida de mitigar el riesgo" xr:uid="{D9462282-A88B-4AB2-A7B0-4F38F3AC52B5}">
          <x14:formula1>
            <xm:f>IF(OR(AM18='Opciones Tratamiento'!$B$2,AM18='Opciones Tratamiento'!$B$3,AM18='Opciones Tratamiento'!$B$4),ISBLANK(AM18),ISTEXT(AM18))</xm:f>
          </x14:formula1>
          <xm:sqref>AU23 AQ31:AR31 AQ29:AR29 AQ27:AR27 AQ25:AR25 AQ23:AR23 AQ19:AR19 AU21 AQ21:AR21 AU19 AU17 AU31 AU29 AU27 AU25</xm:sqref>
        </x14:dataValidation>
        <x14:dataValidation type="list" allowBlank="1" showInputMessage="1" showErrorMessage="1" xr:uid="{EC6E80B5-55A9-4509-81F3-87940E74C9F4}">
          <x14:formula1>
            <xm:f>Formulas!$D$3:$D$6</xm:f>
          </x14:formula1>
          <xm:sqref>F17:F32</xm:sqref>
        </x14:dataValidation>
        <x14:dataValidation type="custom" allowBlank="1" showInputMessage="1" showErrorMessage="1" error="Recuerde que las acciones se generan bajo la medida de mitigar el riesgo" xr:uid="{53649A67-6229-4301-A918-1129F39B8405}">
          <x14:formula1>
            <xm:f>IF(OR(AQ21='Opciones Tratamiento'!$B$2,AQ21='Opciones Tratamiento'!$B$3,AQ21='Opciones Tratamiento'!$B$4),ISBLANK(AQ21),ISTEXT(AQ21))</xm:f>
          </x14:formula1>
          <xm:sqref>BA21:BA32</xm:sqref>
        </x14:dataValidation>
        <x14:dataValidation type="custom" allowBlank="1" showInputMessage="1" showErrorMessage="1" error="Recuerde que las acciones se generan bajo la medida de mitigar el riesgo" xr:uid="{A6464B62-4B15-4B45-88AD-201927A8FB32}">
          <x14:formula1>
            <xm:f>IF(OR(#REF!='Opciones Tratamiento'!$B$2,#REF!='Opciones Tratamiento'!$B$3,#REF!='Opciones Tratamiento'!$B$4),ISBLANK(#REF!),ISTEXT(#REF!))</xm:f>
          </x14:formula1>
          <xm:sqref>BD15:BD32 BC15</xm:sqref>
        </x14:dataValidation>
        <x14:dataValidation type="list" allowBlank="1" showInputMessage="1" showErrorMessage="1" xr:uid="{E1A1C35B-B21F-4C97-8FD9-0217EF2FDE16}">
          <x14:formula1>
            <xm:f>'Tabla Valoración controles'!$D$13:$D$14</xm:f>
          </x14:formula1>
          <xm:sqref>AE15:AE32</xm:sqref>
        </x14:dataValidation>
        <x14:dataValidation type="list" allowBlank="1" showInputMessage="1" showErrorMessage="1" xr:uid="{859F0797-FA3C-4332-9656-A73E2A89B1EF}">
          <x14:formula1>
            <xm:f>'Tabla Valoración controles'!$D$11:$D$12</xm:f>
          </x14:formula1>
          <xm:sqref>AD15:AD32</xm:sqref>
        </x14:dataValidation>
        <x14:dataValidation type="list" allowBlank="1" showInputMessage="1" showErrorMessage="1" xr:uid="{984C5843-6438-4C9B-B673-3E118DEF07C6}">
          <x14:formula1>
            <xm:f>'Tabla Valoración controles'!$D$9:$D$10</xm:f>
          </x14:formula1>
          <xm:sqref>AC15:AC32</xm:sqref>
        </x14:dataValidation>
        <x14:dataValidation type="list" allowBlank="1" showInputMessage="1" showErrorMessage="1" xr:uid="{8383680F-A7ED-43FB-8609-0A2E2BF2E8F1}">
          <x14:formula1>
            <xm:f>'Tabla Valoración controles'!$D$7:$D$8</xm:f>
          </x14:formula1>
          <xm:sqref>AA15:AA32</xm:sqref>
        </x14:dataValidation>
        <x14:dataValidation type="list" allowBlank="1" showInputMessage="1" showErrorMessage="1" xr:uid="{93451974-DFAE-474B-89E0-A6C7EA1E97CD}">
          <x14:formula1>
            <xm:f>'Tabla Valoración controles'!$D$4:$D$6</xm:f>
          </x14:formula1>
          <xm:sqref>Z15:Z32</xm:sqref>
        </x14:dataValidation>
        <x14:dataValidation type="custom" allowBlank="1" showInputMessage="1" showErrorMessage="1" error="Recuerde que las acciones se generan bajo la medida de mitigar el riesgo" xr:uid="{91F534E9-C1C6-4CB4-A1F9-76D0199C1020}">
          <x14:formula1>
            <xm:f>IF(OR(AL16='Opciones Tratamiento'!$B$2,AL16='Opciones Tratamiento'!$B$3,AL16='Opciones Tratamiento'!$B$4),ISBLANK(AL16),ISTEXT(AL16))</xm:f>
          </x14:formula1>
          <xm:sqref>AS31 AR17:AS17 AR15:AS15 AS21 AS19 AS23 AS25 AS27 AS29</xm:sqref>
        </x14:dataValidation>
        <x14:dataValidation type="list" allowBlank="1" showInputMessage="1" showErrorMessage="1" xr:uid="{1B1BA34E-96DF-411B-B172-A6511F21CDB0}">
          <x14:formula1>
            <xm:f>Formulas!$E$3:$E$23</xm:f>
          </x14:formula1>
          <xm:sqref>G17:G32</xm:sqref>
        </x14:dataValidation>
        <x14:dataValidation type="list" allowBlank="1" showInputMessage="1" showErrorMessage="1" xr:uid="{57AA9743-7388-404A-918A-8C7B56F5F194}">
          <x14:formula1>
            <xm:f>Formulas!$B$3:$B$18</xm:f>
          </x14:formula1>
          <xm:sqref>E17:E32</xm:sqref>
        </x14:dataValidation>
        <x14:dataValidation type="list" allowBlank="1" showInputMessage="1" showErrorMessage="1" xr:uid="{8DCD6D28-C331-4991-BAF0-E82D6CA28C73}">
          <x14:formula1>
            <xm:f>Listas!$D$2:$D$5</xm:f>
          </x14:formula1>
          <xm:sqref>N17:N32 N15</xm:sqref>
        </x14:dataValidation>
        <x14:dataValidation type="list" allowBlank="1" showInputMessage="1" showErrorMessage="1" xr:uid="{6203B721-8E73-40F9-AA63-1CE012404ABF}">
          <x14:formula1>
            <xm:f>Listas!$C$2:$C$6</xm:f>
          </x14:formula1>
          <xm:sqref>M17:M32 M15</xm:sqref>
        </x14:dataValidation>
        <x14:dataValidation type="list" allowBlank="1" showInputMessage="1" showErrorMessage="1" xr:uid="{8DA7882E-C20D-4B16-A0E4-E84CAA0AD9CA}">
          <x14:formula1>
            <xm:f>Listas!$B$2:$B$7</xm:f>
          </x14:formula1>
          <xm:sqref>H17:H32</xm:sqref>
        </x14:dataValidation>
        <x14:dataValidation type="custom" allowBlank="1" showInputMessage="1" showErrorMessage="1" error="Recuerde que las acciones se generan bajo la medida de mitigar el riesgo" xr:uid="{5B9160E1-3C5D-4B08-AE7B-E7639DEE268B}">
          <x14:formula1>
            <xm:f>IF(OR(AM21='Opciones Tratamiento'!$B$2,AM21='Opciones Tratamiento'!$B$3,AM21='Opciones Tratamiento'!$B$4),ISBLANK(AM21),ISTEXT(AM21))</xm:f>
          </x14:formula1>
          <xm:sqref>AY21:AY32</xm:sqref>
        </x14:dataValidation>
        <x14:dataValidation type="list" allowBlank="1" showInputMessage="1" showErrorMessage="1" xr:uid="{78AB9087-BD0E-46CE-B52E-BC59A380AFAD}">
          <x14:formula1>
            <xm:f>'Opciones Tratamiento'!$B$2:$B$5</xm:f>
          </x14:formula1>
          <xm:sqref>AM27 AM25 AM23 AM15 AM19 AM17 AM31 AM29 AM21</xm:sqref>
        </x14:dataValidation>
        <x14:dataValidation type="list" allowBlank="1" showInputMessage="1" showErrorMessage="1" xr:uid="{ACAD769F-9A58-4E4C-B840-760F54EA8150}">
          <x14:formula1>
            <xm:f>'Opciones Tratamiento'!$B$13:$B$19</xm:f>
          </x14:formula1>
          <xm:sqref>L15 L17:L32</xm:sqref>
        </x14:dataValidation>
        <x14:dataValidation type="list" allowBlank="1" showInputMessage="1" showErrorMessage="1" xr:uid="{4E488059-25F6-43D2-AE10-C930C288E134}">
          <x14:formula1>
            <xm:f>'Opciones Tratamiento'!$B$9:$B$10</xm:f>
          </x14:formula1>
          <xm:sqref>BB21:BB32</xm:sqref>
        </x14:dataValidation>
        <x14:dataValidation type="custom" allowBlank="1" showInputMessage="1" showErrorMessage="1" error="Recuerde que las acciones se generan bajo la medida de mitigar el riesgo" xr:uid="{47731B2F-D51E-494B-AA7D-D546C1281376}">
          <x14:formula1>
            <xm:f>IF(OR(AP16='Opciones Tratamiento'!$B$2,AP16='Opciones Tratamiento'!$B$3,AP16='Opciones Tratamiento'!$B$4),ISBLANK(AP16),ISTEXT(AP16))</xm:f>
          </x14:formula1>
          <xm:sqref>AU18 AU16 AU15:AX15 AU32 AU30 AU28 AU26 AU24 AU22 AU20</xm:sqref>
        </x14:dataValidation>
        <x14:dataValidation type="custom" allowBlank="1" showInputMessage="1" showErrorMessage="1" error="Recuerde que las acciones se generan bajo la medida de mitigar el riesgo" xr:uid="{664725B2-5786-446C-B573-1455968B9415}">
          <x14:formula1>
            <xm:f>IF(OR(AQ17='Opciones Tratamiento'!$B$2,AQ17='Opciones Tratamiento'!$B$3,AQ17='Opciones Tratamiento'!$B$4),ISBLANK(AQ17),ISTEXT(AQ17))</xm:f>
          </x14:formula1>
          <xm:sqref>AV17:AX32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Calidad ETITC</cp:lastModifiedBy>
  <cp:revision/>
  <dcterms:created xsi:type="dcterms:W3CDTF">2020-03-24T23:12:47Z</dcterms:created>
  <dcterms:modified xsi:type="dcterms:W3CDTF">2026-08-31T21:27:51Z</dcterms:modified>
  <cp:category/>
  <cp:contentStatus/>
</cp:coreProperties>
</file>