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BCD11E0C-70FC-4C2A-A724-4AA3F8319322}" xr6:coauthVersionLast="47" xr6:coauthVersionMax="47" xr10:uidLastSave="{00000000-0000-0000-0000-000000000000}"/>
  <bookViews>
    <workbookView showSheetTabs="0" xWindow="-120" yWindow="-120" windowWidth="29040" windowHeight="1584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7"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9" l="1"/>
  <c r="Z32" i="19"/>
  <c r="Q32" i="19"/>
  <c r="R27" i="18"/>
  <c r="Z21" i="18"/>
  <c r="X21" i="18"/>
  <c r="AO19" i="1"/>
  <c r="AN19" i="1" s="1"/>
  <c r="AK20" i="1"/>
  <c r="AK18" i="1"/>
  <c r="AF19" i="1"/>
  <c r="AC19" i="1"/>
  <c r="S18" i="1"/>
  <c r="T18" i="1" s="1"/>
  <c r="S20" i="1"/>
  <c r="T20" i="1" s="1"/>
  <c r="S22" i="1"/>
  <c r="T22" i="1" s="1"/>
  <c r="AC22" i="1"/>
  <c r="AO22" i="1" s="1"/>
  <c r="AN22" i="1" s="1"/>
  <c r="AF22" i="1"/>
  <c r="AK22" i="1"/>
  <c r="AL22" i="1" s="1"/>
  <c r="S23" i="1"/>
  <c r="T23" i="1" s="1"/>
  <c r="AC23" i="1"/>
  <c r="AO23" i="1" s="1"/>
  <c r="AN23" i="1" s="1"/>
  <c r="AF23" i="1"/>
  <c r="AK23" i="1"/>
  <c r="AL23" i="1" s="1"/>
  <c r="AP22" i="1" l="1"/>
  <c r="AP23" i="1"/>
  <c r="AM23" i="1"/>
  <c r="AM22" i="1"/>
  <c r="L41" i="19" l="1"/>
  <c r="AK25" i="1" l="1"/>
  <c r="AK24" i="1"/>
  <c r="AK21" i="1"/>
  <c r="AC16" i="1" l="1"/>
  <c r="AF16" i="1"/>
  <c r="AC17" i="1"/>
  <c r="AF17" i="1"/>
  <c r="AC18" i="1"/>
  <c r="AF18" i="1"/>
  <c r="AC20" i="1"/>
  <c r="AL20" i="1" s="1"/>
  <c r="AF20" i="1"/>
  <c r="S21" i="1"/>
  <c r="T21" i="1" s="1"/>
  <c r="AC21" i="1"/>
  <c r="AF21" i="1"/>
  <c r="S24" i="1"/>
  <c r="T24" i="1" s="1"/>
  <c r="AC24" i="1"/>
  <c r="AF24" i="1"/>
  <c r="S25" i="1"/>
  <c r="AC25" i="1"/>
  <c r="AO25" i="1" s="1"/>
  <c r="AN25" i="1" s="1"/>
  <c r="AF25" i="1"/>
  <c r="AF15" i="1"/>
  <c r="AC15" i="1"/>
  <c r="S15" i="1"/>
  <c r="AL24" i="1" l="1"/>
  <c r="AM24" i="1"/>
  <c r="AO24" i="1"/>
  <c r="AN24" i="1" s="1"/>
  <c r="AL21" i="1"/>
  <c r="AM21" i="1"/>
  <c r="AO21" i="1"/>
  <c r="AN21" i="1" s="1"/>
  <c r="AM20" i="1"/>
  <c r="AO16" i="1"/>
  <c r="AN16" i="1" s="1"/>
  <c r="T25" i="1"/>
  <c r="T15" i="1"/>
  <c r="AK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P24" i="1" l="1"/>
  <c r="AP21" i="1"/>
  <c r="AL18" i="1"/>
  <c r="AM18" i="1"/>
  <c r="AK19" i="1" s="1"/>
  <c r="AL25" i="1"/>
  <c r="AP25" i="1" s="1"/>
  <c r="AM25" i="1"/>
  <c r="AM15" i="1"/>
  <c r="AK16" i="1" s="1"/>
  <c r="AL15" i="1"/>
  <c r="AN13" i="18"/>
  <c r="AN29" i="18"/>
  <c r="AN37" i="18"/>
  <c r="AN21" i="18"/>
  <c r="AN45" i="18"/>
  <c r="AL19" i="1" l="1"/>
  <c r="AP19" i="1" s="1"/>
  <c r="AM19" i="1"/>
  <c r="AL16" i="1"/>
  <c r="AM16" i="1"/>
  <c r="AK17" i="1" s="1"/>
  <c r="H10" i="27"/>
  <c r="G29" i="27" s="1"/>
  <c r="H9" i="27"/>
  <c r="H8" i="27"/>
  <c r="F29" i="27"/>
  <c r="E29" i="27"/>
  <c r="AL17" i="1" l="1"/>
  <c r="AM17" i="1"/>
  <c r="AP16" i="1"/>
  <c r="L52" i="19"/>
  <c r="S30" i="1"/>
  <c r="F221" i="13" l="1"/>
  <c r="F211" i="13"/>
  <c r="F212" i="13"/>
  <c r="F213" i="13"/>
  <c r="F214" i="13"/>
  <c r="F215" i="13"/>
  <c r="F216" i="13"/>
  <c r="F217" i="13"/>
  <c r="F218" i="13"/>
  <c r="F219" i="13"/>
  <c r="F220" i="13"/>
  <c r="F210" i="13"/>
  <c r="B221" i="13" a="1"/>
  <c r="B221" i="13" l="1"/>
  <c r="H210" i="13" l="1"/>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AD52" i="19"/>
  <c r="AJ52" i="19"/>
  <c r="R52" i="19"/>
  <c r="X52" i="19"/>
  <c r="AJ42" i="19"/>
  <c r="X42" i="19"/>
  <c r="AD42" i="19"/>
  <c r="R42" i="19"/>
  <c r="AD32" i="19"/>
  <c r="AJ32" i="19"/>
  <c r="R32" i="19"/>
  <c r="X32" i="19"/>
  <c r="AJ22" i="19"/>
  <c r="L32" i="19"/>
  <c r="X22" i="19"/>
  <c r="AD22" i="19"/>
  <c r="L22" i="19"/>
  <c r="R22" i="19"/>
  <c r="AD12" i="19"/>
  <c r="AJ12" i="19"/>
  <c r="X12" i="19"/>
  <c r="L12" i="19"/>
  <c r="R12" i="19"/>
  <c r="V19" i="18" l="1"/>
  <c r="AH19" i="18"/>
  <c r="AN43" i="18"/>
  <c r="P27" i="18"/>
  <c r="AB43" i="18"/>
  <c r="V11" i="18"/>
  <c r="AH11" i="18"/>
  <c r="AB27" i="18"/>
  <c r="AN19" i="18"/>
  <c r="AB11" i="18"/>
  <c r="V43" i="18"/>
  <c r="AN27" i="18"/>
  <c r="AN35" i="18"/>
  <c r="V27" i="18"/>
  <c r="AH43" i="18"/>
  <c r="AO17" i="1"/>
  <c r="AN17" i="1" s="1"/>
  <c r="AH27" i="18"/>
  <c r="AB19" i="18"/>
  <c r="V35" i="18"/>
  <c r="AH35" i="18"/>
  <c r="AN11" i="18"/>
  <c r="AB35" i="18"/>
  <c r="AF35" i="18"/>
  <c r="Z35" i="18"/>
  <c r="T19" i="18"/>
  <c r="Z43" i="18"/>
  <c r="Z27" i="18"/>
  <c r="Z11" i="18"/>
  <c r="AF19" i="18"/>
  <c r="T11" i="18"/>
  <c r="T43" i="18"/>
  <c r="AL27" i="18"/>
  <c r="T27" i="18"/>
  <c r="T35" i="18"/>
  <c r="AF43" i="18"/>
  <c r="Z19" i="18"/>
  <c r="AL19" i="18"/>
  <c r="AF27" i="18"/>
  <c r="AL11" i="18"/>
  <c r="AF11" i="18"/>
  <c r="AL43" i="18"/>
  <c r="AL35" i="18"/>
  <c r="AF42" i="19" l="1"/>
  <c r="AP17" i="1"/>
  <c r="AK52" i="19"/>
  <c r="AE12" i="19"/>
  <c r="S52" i="19"/>
  <c r="S22" i="19"/>
  <c r="M12" i="19"/>
  <c r="M22" i="19"/>
  <c r="AK32" i="19"/>
  <c r="S12" i="19"/>
  <c r="AE52" i="19"/>
  <c r="AE22" i="19"/>
  <c r="S32" i="19"/>
  <c r="M32" i="19"/>
  <c r="AE32" i="19"/>
  <c r="AE42" i="19"/>
  <c r="M52" i="19"/>
  <c r="AK42" i="19"/>
  <c r="S42" i="19"/>
  <c r="AK22" i="19"/>
  <c r="AK12" i="19"/>
  <c r="V24" i="1" l="1"/>
  <c r="W24" i="1" s="1"/>
  <c r="V18" i="1"/>
  <c r="W18" i="1" s="1"/>
  <c r="V21" i="1"/>
  <c r="W21" i="1" s="1"/>
  <c r="V23" i="1"/>
  <c r="W23" i="1" s="1"/>
  <c r="V25" i="1"/>
  <c r="W25" i="1" s="1"/>
  <c r="V22" i="1"/>
  <c r="W22" i="1" s="1"/>
  <c r="V15" i="1"/>
  <c r="W15" i="1" s="1"/>
  <c r="V20" i="1"/>
  <c r="W20" i="1" s="1"/>
  <c r="Y22" i="1" l="1"/>
  <c r="X22" i="1"/>
  <c r="T15" i="18"/>
  <c r="T31" i="18"/>
  <c r="X25" i="1"/>
  <c r="Z47" i="18"/>
  <c r="AL39" i="18"/>
  <c r="Z31" i="18"/>
  <c r="T39" i="18"/>
  <c r="AL47" i="18"/>
  <c r="AF31" i="18"/>
  <c r="AF39" i="18"/>
  <c r="Z39" i="18"/>
  <c r="AL23" i="18"/>
  <c r="Z23" i="18"/>
  <c r="AL31" i="18"/>
  <c r="T23" i="18"/>
  <c r="T47" i="18"/>
  <c r="Y25" i="1"/>
  <c r="Z15" i="18"/>
  <c r="AF47" i="18"/>
  <c r="AL15" i="18"/>
  <c r="AF23" i="18"/>
  <c r="AF15" i="18"/>
  <c r="X23" i="1"/>
  <c r="Y23" i="1"/>
  <c r="AB37" i="18"/>
  <c r="V21" i="18"/>
  <c r="AB21" i="18"/>
  <c r="X21" i="1"/>
  <c r="AH21" i="18"/>
  <c r="AH45" i="18"/>
  <c r="Y21" i="1"/>
  <c r="AH29" i="18"/>
  <c r="V45" i="18"/>
  <c r="AB45" i="18"/>
  <c r="V29" i="18"/>
  <c r="V13" i="18"/>
  <c r="V37" i="18"/>
  <c r="AB13" i="18"/>
  <c r="AH13" i="18"/>
  <c r="AH37" i="18"/>
  <c r="AB29" i="18"/>
  <c r="R21" i="18"/>
  <c r="L21" i="18"/>
  <c r="X37" i="18"/>
  <c r="AD45" i="18"/>
  <c r="Y18" i="1"/>
  <c r="L45" i="18"/>
  <c r="AJ29" i="18"/>
  <c r="X18" i="1"/>
  <c r="AO18" i="1" s="1"/>
  <c r="AN18" i="1" s="1"/>
  <c r="X45" i="18"/>
  <c r="AD37" i="18"/>
  <c r="AD21" i="18"/>
  <c r="L13" i="18"/>
  <c r="R29" i="18"/>
  <c r="R37" i="18"/>
  <c r="AJ21" i="18"/>
  <c r="X13" i="18"/>
  <c r="AD13" i="18"/>
  <c r="X29" i="18"/>
  <c r="AJ13" i="18"/>
  <c r="L37" i="18"/>
  <c r="R13" i="18"/>
  <c r="L29" i="18"/>
  <c r="AJ37" i="18"/>
  <c r="AD29" i="18"/>
  <c r="R45" i="18"/>
  <c r="AJ45" i="18"/>
  <c r="AF21" i="18"/>
  <c r="AF37" i="18"/>
  <c r="AF45" i="18"/>
  <c r="T13" i="18"/>
  <c r="AF13" i="18"/>
  <c r="Z13" i="18"/>
  <c r="Z29" i="18"/>
  <c r="AL45" i="18"/>
  <c r="T45" i="18"/>
  <c r="X20" i="1"/>
  <c r="AO20" i="1" s="1"/>
  <c r="AN20" i="1" s="1"/>
  <c r="Z45" i="18"/>
  <c r="T37" i="18"/>
  <c r="AL21" i="18"/>
  <c r="T21" i="18"/>
  <c r="AL13" i="18"/>
  <c r="AF29" i="18"/>
  <c r="Z37" i="18"/>
  <c r="AL37" i="18"/>
  <c r="Y20" i="1"/>
  <c r="AL29" i="18"/>
  <c r="T29" i="18"/>
  <c r="Y24" i="1"/>
  <c r="X24" i="1"/>
  <c r="R47" i="18"/>
  <c r="AD15" i="18"/>
  <c r="AJ39" i="18"/>
  <c r="R39" i="18"/>
  <c r="X31" i="18"/>
  <c r="R23" i="18"/>
  <c r="AD31" i="18"/>
  <c r="L31" i="18"/>
  <c r="AJ23" i="18"/>
  <c r="AJ15" i="18"/>
  <c r="AD47" i="18"/>
  <c r="X39" i="18"/>
  <c r="L15" i="18"/>
  <c r="X23" i="18"/>
  <c r="R15" i="18"/>
  <c r="L47" i="18"/>
  <c r="R31" i="18"/>
  <c r="X47" i="18"/>
  <c r="L39" i="18"/>
  <c r="L23" i="18"/>
  <c r="AJ47" i="18"/>
  <c r="X15" i="18"/>
  <c r="AD23" i="18"/>
  <c r="AD39" i="18"/>
  <c r="AJ31" i="18"/>
  <c r="Y15" i="1"/>
  <c r="AD11" i="18"/>
  <c r="AJ43" i="18"/>
  <c r="X15" i="1"/>
  <c r="AO15" i="1" s="1"/>
  <c r="AN15" i="1" s="1"/>
  <c r="AJ11" i="18"/>
  <c r="X11" i="18"/>
  <c r="X35" i="18"/>
  <c r="AJ19" i="18"/>
  <c r="X27" i="18"/>
  <c r="X19" i="18"/>
  <c r="AJ35" i="18"/>
  <c r="R19" i="18"/>
  <c r="L11" i="18"/>
  <c r="AD43" i="18"/>
  <c r="R11" i="18"/>
  <c r="AD19" i="18"/>
  <c r="L19" i="18"/>
  <c r="AJ27" i="18"/>
  <c r="R35" i="18"/>
  <c r="AD35" i="18"/>
  <c r="R43" i="18"/>
  <c r="L35" i="18"/>
  <c r="AD27" i="18"/>
  <c r="L27" i="18"/>
  <c r="L43" i="18"/>
  <c r="X43" i="18"/>
  <c r="AP20" i="1" l="1"/>
  <c r="AG22" i="19"/>
  <c r="AM32" i="19"/>
  <c r="AA52" i="19"/>
  <c r="U12" i="19"/>
  <c r="AA12" i="19"/>
  <c r="AM12" i="19"/>
  <c r="AM52" i="19"/>
  <c r="O52" i="19"/>
  <c r="U52" i="19"/>
  <c r="AA22" i="19"/>
  <c r="AM22" i="19"/>
  <c r="AG42" i="19"/>
  <c r="U22" i="19"/>
  <c r="U32" i="19"/>
  <c r="AM42" i="19"/>
  <c r="O12" i="19"/>
  <c r="O22" i="19"/>
  <c r="AG12" i="19"/>
  <c r="AA42" i="19"/>
  <c r="AG52" i="19"/>
  <c r="O32" i="19"/>
  <c r="AG32" i="19"/>
  <c r="O42" i="19"/>
  <c r="U42" i="19"/>
  <c r="AP18" i="1"/>
  <c r="M42" i="19"/>
  <c r="N42" i="19"/>
  <c r="T52" i="19"/>
  <c r="N32" i="19"/>
  <c r="AL32" i="19"/>
  <c r="AL22" i="19"/>
  <c r="AL42" i="19"/>
  <c r="AF52" i="19"/>
  <c r="AF22" i="19"/>
  <c r="AL52" i="19"/>
  <c r="N22" i="19"/>
  <c r="T22" i="19"/>
  <c r="T42" i="19"/>
  <c r="AL12" i="19"/>
  <c r="Z42" i="19"/>
  <c r="T32" i="19"/>
  <c r="Z12" i="19"/>
  <c r="N52" i="19"/>
  <c r="Z52" i="19"/>
  <c r="Z22" i="19"/>
  <c r="N12" i="19"/>
  <c r="T12" i="19"/>
  <c r="AF32" i="19"/>
  <c r="AF12" i="19"/>
  <c r="K32" i="19"/>
  <c r="AI52" i="19"/>
  <c r="W52" i="19"/>
  <c r="Q22" i="19"/>
  <c r="W12" i="19"/>
  <c r="AC32" i="19"/>
  <c r="AI22" i="19"/>
  <c r="W32" i="19"/>
  <c r="AP15" i="1"/>
  <c r="K12" i="19"/>
  <c r="Q42" i="19"/>
  <c r="AC22" i="19"/>
  <c r="AC12" i="19"/>
  <c r="W42" i="19"/>
  <c r="W22" i="19"/>
  <c r="Q12" i="19"/>
  <c r="Q52" i="19"/>
  <c r="AI42" i="19"/>
  <c r="K42" i="19"/>
  <c r="K52" i="19"/>
  <c r="AI12" i="19"/>
  <c r="AC52" i="19"/>
  <c r="K22" i="19"/>
  <c r="AC42" i="19"/>
  <c r="AI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N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<sst xmlns="http://schemas.openxmlformats.org/spreadsheetml/2006/main" count="732" uniqueCount="441">
  <si>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</si>
  <si>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</si>
  <si>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</si>
  <si>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</si>
  <si>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</si>
  <si>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</si>
  <si>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</si>
  <si>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</si>
  <si>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</si>
  <si>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</si>
  <si>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</si>
  <si>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</si>
  <si>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</si>
  <si>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</si>
  <si>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</si>
  <si>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</si>
  <si>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</si>
  <si>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</si>
  <si>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</si>
  <si>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</si>
  <si>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</si>
  <si>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</si>
  <si>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</si>
  <si>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</si>
  <si>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</si>
  <si>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</si>
  <si>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</si>
  <si>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</si>
  <si>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</si>
  <si>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</si>
  <si>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</si>
  <si>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</si>
  <si>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</si>
  <si>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</si>
  <si>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</si>
  <si>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</si>
  <si>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</si>
  <si>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</si>
  <si>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</si>
  <si>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</si>
  <si>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</si>
  <si>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</si>
  <si>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</si>
  <si>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</si>
  <si>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</si>
  <si>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</si>
  <si>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</si>
  <si>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</si>
  <si>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</si>
  <si>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</si>
  <si>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</si>
  <si>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</si>
  <si>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</si>
  <si>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</si>
  <si>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</si>
  <si>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</si>
  <si>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</si>
  <si>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</si>
  <si>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</si>
  <si>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</si>
  <si>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</si>
  <si>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</si>
  <si>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</si>
  <si>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</si>
  <si>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</si>
  <si>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</si>
  <si>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</si>
  <si>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</si>
  <si>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</si>
  <si>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</si>
  <si>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</si>
  <si>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</si>
  <si>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</si>
  <si>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</si>
  <si>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</si>
  <si>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</si>
  <si>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</si>
  <si>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</si>
  <si>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</si>
  <si>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</si>
  <si>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</si>
  <si>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</si>
  <si>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</si>
  <si>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</si>
  <si>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</si>
  <si>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</si>
  <si>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</si>
  <si>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</si>
  <si>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</si>
  <si>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</si>
  <si>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</si>
  <si>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</si>
  <si>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</si>
  <si>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</si>
  <si>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</si>
  <si>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</si>
  <si>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</si>
  <si>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</si>
  <si>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</si>
  <si>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</si>
  <si>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</si>
  <si>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</si>
  <si>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</si>
  <si>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</si>
  <si>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</si>
  <si>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</si>
  <si>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</si>
  <si>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</si>
  <si>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</si>
  <si>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</si>
  <si>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</si>
  <si>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</si>
  <si>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</si>
  <si>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</si>
  <si>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</si>
  <si>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</si>
  <si>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</si>
  <si>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</si>
  <si>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</si>
  <si>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</si>
  <si>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</si>
  <si>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</si>
  <si>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</si>
  <si>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</si>
  <si>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</si>
  <si>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</si>
  <si>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</si>
  <si>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</si>
  <si>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</si>
  <si>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</si>
  <si>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</si>
  <si>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</si>
  <si>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</si>
  <si>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</si>
  <si>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</si>
  <si>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</si>
  <si>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</si>
  <si>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</si>
  <si>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</si>
  <si>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</si>
  <si>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</si>
  <si>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</si>
  <si>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</si>
  <si>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</si>
  <si>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</si>
  <si>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</si>
  <si>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</si>
  <si>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</si>
  <si>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</si>
  <si>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</si>
  <si>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</si>
  <si>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</si>
  <si>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</si>
  <si>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</si>
  <si>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</si>
  <si>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</si>
  <si>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</si>
  <si>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</si>
  <si>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</si>
  <si>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</si>
  <si>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</si>
  <si>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</si>
  <si>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</si>
  <si>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</si>
  <si>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</si>
  <si>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</si>
  <si>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</si>
  <si>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</si>
  <si>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</si>
  <si>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</si>
  <si>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</si>
  <si>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</si>
  <si>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</si>
  <si>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</si>
  <si>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</si>
  <si>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</si>
  <si>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</si>
  <si>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</si>
  <si>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</si>
  <si>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</si>
  <si>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</si>
  <si>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</si>
  <si>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</si>
  <si>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</si>
  <si>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</si>
  <si>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</si>
  <si>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</si>
  <si>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</si>
  <si>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</si>
  <si>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</si>
  <si>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</si>
  <si>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</si>
  <si>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</si>
  <si>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</si>
  <si>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</si>
  <si>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</si>
  <si>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</si>
  <si>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</si>
  <si>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</si>
  <si>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</si>
  <si>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</si>
  <si>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</si>
  <si>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</si>
  <si>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</si>
  <si>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</si>
  <si>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</si>
  <si>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</si>
  <si>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</si>
  <si>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</si>
  <si>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</si>
  <si>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</si>
  <si>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</si>
  <si>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</si>
  <si>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</si>
  <si>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</si>
  <si>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</si>
  <si>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</si>
  <si>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</si>
  <si>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</si>
  <si>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</si>
  <si>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</si>
  <si>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</si>
  <si>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</si>
  <si>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</si>
  <si>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</si>
  <si>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</si>
  <si>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</si>
  <si>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</si>
  <si>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</si>
  <si>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</si>
  <si>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</si>
  <si>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</si>
  <si>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</si>
  <si>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</si>
  <si>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</si>
  <si>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</si>
  <si>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</si>
  <si>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</si>
  <si>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</si>
  <si>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</si>
  <si>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</si>
  <si>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</si>
  <si>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</si>
  <si>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</si>
  <si>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</si>
  <si>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</si>
  <si>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</si>
  <si>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</si>
  <si>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</si>
  <si>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</si>
  <si>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</si>
  <si>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</si>
  <si>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</si>
  <si>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</si>
  <si>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</si>
  <si>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</si>
  <si>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</si>
  <si>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</si>
  <si>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</si>
  <si>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</si>
  <si>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</si>
  <si>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</si>
  <si>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</si>
  <si>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</si>
  <si>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</si>
  <si>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</si>
  <si>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</si>
  <si>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</si>
  <si>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</si>
  <si>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</si>
  <si>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</si>
  <si>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</si>
  <si>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</si>
  <si>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</si>
  <si>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</si>
  <si>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</si>
  <si>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</si>
  <si>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</si>
  <si>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</si>
  <si>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</si>
  <si>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</si>
  <si>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</si>
  <si>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</si>
  <si>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</si>
  <si>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</si>
  <si>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</si>
  <si>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</si>
  <si>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</si>
  <si>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</si>
  <si>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</si>
  <si>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</si>
  <si>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</si>
  <si>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</si>
  <si>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</si>
  <si>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</si>
  <si>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</si>
  <si>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</si>
  <si>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</si>
  <si>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</si>
  <si>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</si>
  <si>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</si>
  <si>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</si>
  <si>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</si>
  <si>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</si>
  <si>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</si>
  <si>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</si>
  <si>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</si>
  <si>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</si>
  <si>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</si>
  <si>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</si>
  <si>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</si>
  <si>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</si>
  <si>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</si>
  <si>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</si>
  <si>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</si>
  <si>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</si>
  <si>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</si>
  <si>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</si>
  <si>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</si>
  <si>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</si>
  <si>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</si>
  <si>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</si>
  <si>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</si>
  <si>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</si>
  <si>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</si>
  <si>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</si>
  <si>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</si>
  <si>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</si>
  <si>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</si>
  <si>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</si>
  <si>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</si>
  <si>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</si>
  <si>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</si>
  <si>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</si>
  <si>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</si>
  <si>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</si>
  <si>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</si>
  <si>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</si>
  <si>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</si>
  <si>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</si>
  <si>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</si>
  <si>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</si>
  <si>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</si>
  <si>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</si>
  <si>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</si>
  <si>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</si>
  <si>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</si>
  <si>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</si>
  <si>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</si>
  <si>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</si>
  <si>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</si>
  <si>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</si>
  <si>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</si>
  <si>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</si>
  <si>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</si>
  <si>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</si>
  <si>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</si>
  <si>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</si>
  <si>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</si>
  <si>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</si>
  <si>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</si>
  <si>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</si>
  <si>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</si>
  <si>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</si>
  <si>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</si>
  <si>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</si>
  <si>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</si>
  <si>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</si>
  <si>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</si>
  <si>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</si>
  <si>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</si>
  <si>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</si>
  <si>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</si>
  <si>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</si>
  <si>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</si>
  <si>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</si>
  <si>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</si>
  <si>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</si>
  <si>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</si>
  <si>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</si>
  <si>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</si>
  <si>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</si>
  <si>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</si>
  <si>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</si>
  <si>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</si>
  <si>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</si>
  <si>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</si>
  <si>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</si>
  <si>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</si>
  <si>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</si>
  <si>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</si>
  <si>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</si>
  <si>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</si>
  <si>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</si>
  <si>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</si>
  <si>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</si>
  <si>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Líder de Proceso</t>
  </si>
  <si>
    <t>Se actualizó formato a versión No 8</t>
  </si>
  <si>
    <t>CAUSA (VULNERABILIDADES)</t>
  </si>
  <si>
    <t>Amenazas</t>
  </si>
  <si>
    <t xml:space="preserve">Servicios, Software, Hardware </t>
  </si>
  <si>
    <t xml:space="preserve">Servicios, Software, Documental </t>
  </si>
  <si>
    <t xml:space="preserve">Servicios, Software, Hardware, Documental </t>
  </si>
  <si>
    <t xml:space="preserve">Seguridad de la Infromacion </t>
  </si>
  <si>
    <t xml:space="preserve">Plan de Contingencia </t>
  </si>
  <si>
    <t>Incumplimiento a la norma: Decreto 1072/2015 Artículo 2.2.4.6.25, numeral 11
Decreto 2157 de 2017.
Resolución 0256 de 2014</t>
  </si>
  <si>
    <t xml:space="preserve">Incumplimiento a la norma: Resolución 2346 de 2007 capitulo II 
Decreto 1072/2015 Artículo 2.2.4.6.24, numeral 05 PARAGRAFO 3 </t>
  </si>
  <si>
    <t>Incumplimiento al desarrollo de actividades pactadas en el plan de gestión para el año y a los Decreto 1072/2015, Artículo 2.2.4.6.8. numeral 4, Artículo 2.2.4.6.17 numeral 2,5</t>
  </si>
  <si>
    <t>Incumplimiento gestion de prevención, preparación y respuesta ante emergencias, brigada de emergencias, plan de emergencias</t>
  </si>
  <si>
    <t xml:space="preserve">Omisio proceso contractual prestación de servicio médico por parte de institución de salud especialista en seguridad y salud en el trabajo  </t>
  </si>
  <si>
    <t>Falta de Recurso Humano Suficiente para suplir las necesidades y labores a desarrollar para el pleno cumplimiento y desarrollo el sistema</t>
  </si>
  <si>
    <t>Posibilidad de afectación económica y reputacional por desconocimiento en actuación en caso de emergencias 
Multas</t>
  </si>
  <si>
    <t>Posibilidad de afectación económica y reputacional por ingreso de personal con morbilidades de origen laboral y/o presencia de algun tipo de patología sin detectar de manera preventiva en los colaboradores de la escuela</t>
  </si>
  <si>
    <t>N/A</t>
  </si>
  <si>
    <t xml:space="preserve">Gestionar la creación de una Brigada: capacitada y dotada, la brigada de prevención, preparación y respuesta ante emergencias.
 </t>
  </si>
  <si>
    <t xml:space="preserve"> Acta conformación brigada
Mapas de evacuación actualizados</t>
  </si>
  <si>
    <t>Actualizacion del docuento plan de emergencias</t>
  </si>
  <si>
    <t>Auditoria y seguimiento al plan de capacitación de las Brigadas</t>
  </si>
  <si>
    <t>Solicitar recursos para dotación brigadistas</t>
  </si>
  <si>
    <t>y Soporte del plan de compras y entregas de implementos y EPP para Brigadistas</t>
  </si>
  <si>
    <t xml:space="preserve">Ejecutar contrato de prestación de servicios profesionales en examenes medicos ocupacionales </t>
  </si>
  <si>
    <t xml:space="preserve">Contrato prestación de servicios médicos especialistas en salud ocupacional </t>
  </si>
  <si>
    <t>1. Evaluación médica preocupacional o de preingreso.
2. Evaluaciones médicas ocupacionales periódicas (programadas o por cambios de ocupación).
3. Evaluación médica posocupacional o de egreso.
4. Profesiograma
5. Diagnostico condiciones de salud</t>
  </si>
  <si>
    <t xml:space="preserve">Conceptos médicos de acuerdo al tipo de examen médico a practicar </t>
  </si>
  <si>
    <t xml:space="preserve">Recurso humano de apoyo al área de SST </t>
  </si>
  <si>
    <t xml:space="preserve">Por identificar </t>
  </si>
  <si>
    <t xml:space="preserve">Conformación brigada emergencias </t>
  </si>
  <si>
    <t>Profesional de Gestión del Talento Humano - Líder del proceso de SST</t>
  </si>
  <si>
    <t xml:space="preserve">Plan de capacitación y entrenamiento brigadas </t>
  </si>
  <si>
    <t xml:space="preserve">Entrega elementos de Dotacion personal brigadistas </t>
  </si>
  <si>
    <t xml:space="preserve">Efectuar contratación con Institucion prestadora de servicios de salud especiaistas en seguridad y salud en el trabajo </t>
  </si>
  <si>
    <t xml:space="preserve">Practicar examenes medicos </t>
  </si>
  <si>
    <t>Poner en conocimiento del profesional de Gestión la insuficiencia del recurso financiero a fin de gestionar el recurso</t>
  </si>
  <si>
    <t>GESTIÓN DE SEGURIDAD Y SALUD EN EL TRABAJO</t>
  </si>
  <si>
    <t>Planear, implementar, evaluar y mejorar continuamente el Sistema de Gestión de Seguridad y Salud en el Trabajo (SGSST), garantizando con esto, la prevención de accidentes y enfermedades laborales de la Escuela Tecnológica Instituto Técnico Central (ETITC) mediante la identificación de los peligros y valoración de los riesgos ocupacionales</t>
  </si>
  <si>
    <t>Aplica para todas las actividades ejecutadas en la Escuela Tecnológica Instituto Técnico Central (ETITC) y en su nombre, cubriendo a todos los trabajadores independiente de su modalidad de contratación.</t>
  </si>
  <si>
    <t>Andrés Orduz Nivia</t>
  </si>
  <si>
    <t>Posibilidad de afectación económica y reputacional por menor cobertura en la gestión de seguridad y salud en el trabajo</t>
  </si>
  <si>
    <t>Ejecución y Administración de procesos</t>
  </si>
  <si>
    <t xml:space="preserve">Gestionar la asignación de recurso humano como apoyo para la gestión de seguridad y salud en el trabajo </t>
  </si>
  <si>
    <r>
      <rPr>
        <b/>
        <sz val="14"/>
        <rFont val="Arial"/>
        <family val="2"/>
      </rPr>
      <t>LÍDER DEL PROCESO:</t>
    </r>
    <r>
      <rPr>
        <sz val="14"/>
        <rFont val="Arial"/>
        <family val="2"/>
      </rPr>
      <t xml:space="preserve">  Andrés Orduz Nivia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</si>
</sst>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3"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sz val="8"/>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
      <left style="thin">
        <color indexed="64"/>
      </left>
      <right style="medium">
        <color indexed="64"/>
      </right>
      <top style="medium">
        <color indexed="64"/>
      </top>
      <bottom style="thin">
        <color indexed="64"/>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54">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7"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164" fontId="99" fillId="0" borderId="21" xfId="1" applyNumberFormat="1" applyFont="1" applyBorder="1" applyAlignment="1">
      <alignment horizontal="center" vertical="center"/>
    </xf>
    <xf numFmtId="9" fontId="99" fillId="0" borderId="21" xfId="1" applyFont="1" applyBorder="1" applyAlignment="1">
      <alignment horizontal="center" vertical="center" wrapText="1"/>
    </xf>
    <xf numFmtId="164" fontId="66" fillId="0" borderId="21" xfId="1" applyNumberFormat="1" applyFont="1" applyBorder="1" applyAlignment="1">
      <alignment horizontal="center" vertical="top" wrapText="1"/>
    </xf>
    <xf numFmtId="0" fontId="99"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99"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99" fillId="0" borderId="21" xfId="0" applyFont="1" applyBorder="1" applyAlignment="1" applyProtection="1">
      <alignment horizontal="left" vertical="top"/>
      <protection locked="0"/>
    </xf>
    <xf numFmtId="0" fontId="99" fillId="0" borderId="21" xfId="0" applyFont="1" applyBorder="1" applyAlignment="1">
      <alignment horizontal="left" vertical="top"/>
    </xf>
    <xf numFmtId="0" fontId="46" fillId="0" borderId="21" xfId="0" applyFont="1" applyBorder="1" applyAlignment="1" applyProtection="1">
      <alignment horizontal="left" vertical="top" wrapText="1"/>
      <protection locked="0"/>
    </xf>
    <xf numFmtId="0" fontId="101" fillId="0" borderId="21" xfId="0" applyFont="1" applyBorder="1" applyAlignment="1" applyProtection="1">
      <alignment horizontal="left" vertical="top" wrapText="1"/>
      <protection locked="0"/>
    </xf>
    <xf numFmtId="0" fontId="63" fillId="0" borderId="7" xfId="0" applyFont="1" applyBorder="1" applyAlignment="1">
      <alignment horizontal="center" wrapText="1"/>
    </xf>
    <xf numFmtId="0" fontId="63" fillId="0" borderId="9" xfId="0" applyFont="1" applyBorder="1" applyAlignment="1">
      <alignment horizontal="center" wrapText="1"/>
    </xf>
    <xf numFmtId="0" fontId="63" fillId="0" borderId="5" xfId="0" applyFont="1" applyBorder="1" applyAlignment="1">
      <alignment horizontal="center" wrapText="1"/>
    </xf>
    <xf numFmtId="0" fontId="99" fillId="0" borderId="21"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99" fillId="0" borderId="21" xfId="0" applyFont="1" applyBorder="1" applyAlignment="1" applyProtection="1">
      <alignment vertical="top"/>
      <protection locked="0"/>
    </xf>
    <xf numFmtId="0" fontId="77" fillId="0" borderId="21" xfId="0" applyFont="1" applyBorder="1" applyAlignment="1" applyProtection="1">
      <alignment vertical="center" wrapText="1"/>
      <protection hidden="1"/>
    </xf>
    <xf numFmtId="9" fontId="66" fillId="0" borderId="21" xfId="0" applyNumberFormat="1" applyFont="1" applyBorder="1" applyAlignment="1" applyProtection="1">
      <alignment vertical="center" wrapText="1"/>
      <protection hidden="1"/>
    </xf>
    <xf numFmtId="0" fontId="63" fillId="0" borderId="0" xfId="0" applyFont="1" applyAlignment="1">
      <alignment horizontal="center" wrapText="1"/>
    </xf>
    <xf numFmtId="0" fontId="66" fillId="0" borderId="65" xfId="0" applyFont="1" applyBorder="1" applyAlignment="1">
      <alignment horizontal="center" vertical="center"/>
    </xf>
    <xf numFmtId="0" fontId="97" fillId="19" borderId="68" xfId="0" applyFont="1" applyFill="1" applyBorder="1" applyAlignment="1">
      <alignment horizontal="center" vertical="center" wrapText="1"/>
    </xf>
    <xf numFmtId="0" fontId="63" fillId="0" borderId="12" xfId="0" applyFont="1" applyBorder="1" applyAlignment="1">
      <alignment horizontal="center" wrapText="1"/>
    </xf>
    <xf numFmtId="0" fontId="63" fillId="0" borderId="11" xfId="0" applyFont="1" applyBorder="1" applyAlignment="1">
      <alignment horizont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110" xfId="0" applyFont="1" applyFill="1" applyBorder="1" applyAlignment="1">
      <alignment horizontal="center" vertical="center"/>
    </xf>
    <xf numFmtId="0" fontId="88" fillId="16" borderId="22" xfId="0" applyFont="1" applyFill="1" applyBorder="1" applyAlignment="1">
      <alignment horizontal="center" vertical="center"/>
    </xf>
    <xf numFmtId="0" fontId="88" fillId="16" borderId="67"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109" xfId="0" applyFont="1" applyBorder="1" applyAlignment="1" applyProtection="1">
      <alignment horizontal="center" vertical="center"/>
      <protection locked="0"/>
    </xf>
    <xf numFmtId="0" fontId="92" fillId="0" borderId="113" xfId="0" applyFont="1" applyBorder="1" applyAlignment="1" applyProtection="1">
      <alignment horizontal="center" vertical="center"/>
      <protection locked="0"/>
    </xf>
    <xf numFmtId="0" fontId="92" fillId="0" borderId="21" xfId="0" applyFont="1" applyBorder="1" applyAlignment="1" applyProtection="1">
      <alignment horizontal="center" vertical="center"/>
      <protection locked="0"/>
    </xf>
    <xf numFmtId="0" fontId="92" fillId="0" borderId="26" xfId="0" applyFont="1" applyBorder="1" applyAlignment="1" applyProtection="1">
      <alignment horizontal="center" vertical="center"/>
      <protection locked="0"/>
    </xf>
    <xf numFmtId="0" fontId="92" fillId="0" borderId="28" xfId="0" applyFont="1" applyBorder="1" applyAlignment="1" applyProtection="1">
      <alignment horizontal="center" vertical="center"/>
      <protection locked="0"/>
    </xf>
    <xf numFmtId="0" fontId="92" fillId="0" borderId="29"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88" fillId="16" borderId="21" xfId="0" applyFont="1" applyFill="1" applyBorder="1" applyAlignment="1">
      <alignment horizontal="center" vertical="center"/>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88" fillId="16" borderId="68" xfId="0" applyFont="1" applyFill="1" applyBorder="1" applyAlignment="1">
      <alignment horizontal="center" vertical="center"/>
    </xf>
    <xf numFmtId="0" fontId="55" fillId="0" borderId="67"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97" fillId="19" borderId="68" xfId="0" applyFont="1" applyFill="1" applyBorder="1" applyAlignment="1">
      <alignment horizontal="center" vertical="center" wrapText="1"/>
    </xf>
    <xf numFmtId="0" fontId="97" fillId="19" borderId="69"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59"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60" fillId="0" borderId="70" xfId="0" applyFont="1" applyBorder="1" applyAlignment="1">
      <alignment horizontal="center" vertical="center" wrapText="1"/>
    </xf>
    <xf numFmtId="0" fontId="95" fillId="0" borderId="21" xfId="0" applyFont="1" applyBorder="1" applyAlignment="1">
      <alignment horizontal="left" vertical="center" wrapText="1"/>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66" fillId="0" borderId="22" xfId="0" applyFont="1" applyBorder="1" applyAlignment="1">
      <alignment vertical="center" wrapText="1"/>
    </xf>
    <xf numFmtId="0" fontId="99" fillId="0" borderId="21" xfId="0" applyFont="1" applyBorder="1" applyAlignment="1" applyProtection="1">
      <alignment horizontal="center" vertical="center" wrapText="1"/>
      <protection locked="0"/>
    </xf>
    <xf numFmtId="0" fontId="66" fillId="0" borderId="111"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0" fontId="66" fillId="0" borderId="111"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protection locked="0"/>
    </xf>
    <xf numFmtId="0" fontId="66" fillId="0" borderId="111"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0" fontId="99" fillId="0" borderId="21" xfId="0" applyFont="1" applyBorder="1" applyAlignment="1" applyProtection="1">
      <alignment horizontal="center" vertical="center"/>
      <protection locked="0"/>
    </xf>
    <xf numFmtId="0" fontId="99" fillId="0" borderId="21" xfId="0" applyFont="1" applyBorder="1" applyAlignment="1" applyProtection="1">
      <alignment horizontal="center" vertical="center"/>
      <protection locked="0"/>
    </xf>
    <xf numFmtId="0" fontId="77" fillId="0" borderId="110" xfId="0" applyFont="1" applyBorder="1" applyAlignment="1" applyProtection="1">
      <alignment horizontal="center" vertical="center" wrapText="1"/>
      <protection hidden="1"/>
    </xf>
    <xf numFmtId="0" fontId="77" fillId="0" borderId="111"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hidden="1"/>
    </xf>
    <xf numFmtId="9" fontId="66" fillId="0" borderId="111"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9" fontId="99" fillId="0" borderId="21" xfId="0" applyNumberFormat="1" applyFont="1" applyBorder="1" applyAlignment="1" applyProtection="1">
      <alignment horizontal="center" vertical="center" wrapText="1"/>
      <protection locked="0"/>
    </xf>
    <xf numFmtId="9" fontId="99" fillId="0" borderId="21" xfId="0" applyNumberFormat="1" applyFont="1" applyBorder="1" applyAlignment="1" applyProtection="1">
      <alignment horizontal="center" vertical="center" wrapText="1"/>
      <protection locked="0"/>
    </xf>
    <xf numFmtId="0" fontId="3" fillId="0" borderId="110" xfId="0" applyFont="1" applyBorder="1" applyAlignment="1" applyProtection="1">
      <alignment horizontal="center" vertical="center" wrapText="1"/>
      <protection hidden="1"/>
    </xf>
    <xf numFmtId="0" fontId="3" fillId="0" borderId="111"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99" fillId="0" borderId="21" xfId="0" applyFont="1" applyBorder="1" applyAlignment="1">
      <alignment horizontal="center" vertical="center"/>
    </xf>
    <xf numFmtId="0" fontId="101" fillId="0" borderId="21" xfId="0" applyFont="1" applyBorder="1" applyAlignment="1" applyProtection="1">
      <alignment horizontal="left" vertical="center" wrapText="1"/>
      <protection locked="0"/>
    </xf>
    <xf numFmtId="0" fontId="101" fillId="0" borderId="21" xfId="0" applyFont="1" applyBorder="1" applyAlignment="1" applyProtection="1">
      <alignment horizontal="justify" vertical="center" wrapText="1"/>
      <protection locked="0"/>
    </xf>
    <xf numFmtId="0" fontId="99" fillId="0" borderId="21" xfId="0" applyFont="1" applyBorder="1" applyAlignment="1" applyProtection="1">
      <alignment horizontal="left" vertical="center"/>
      <protection locked="0"/>
    </xf>
    <xf numFmtId="0" fontId="99" fillId="0" borderId="21" xfId="0" applyFont="1" applyBorder="1" applyAlignment="1" applyProtection="1">
      <alignment horizontal="justify" vertical="center"/>
      <protection locked="0"/>
    </xf>
    <xf numFmtId="0" fontId="102" fillId="0" borderId="21" xfId="0"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3">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8</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ETITC\2025\Riesgos%202025\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2" dataDxfId="31">
  <autoFilter ref="B209:C219" xr:uid="{00000000-0009-0000-0100-000001000000}"/>
  <tableColumns count="2">
    <tableColumn id="1" xr3:uid="{00000000-0010-0000-0000-000001000000}" name="Criterios" dataDxfId="30"/>
    <tableColumn id="2" xr3:uid="{00000000-0010-0000-0000-000002000000}" name="Subcriterios" dataDxfId="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51" t="s">
        <v>267</v>
      </c>
      <c r="C2" s="252"/>
      <c r="D2" s="242" t="s">
        <v>205</v>
      </c>
      <c r="E2" s="243"/>
      <c r="F2" s="243"/>
      <c r="G2" s="243"/>
      <c r="H2" s="243"/>
      <c r="I2" s="243"/>
      <c r="J2" s="243"/>
      <c r="K2" s="243"/>
      <c r="L2" s="244"/>
      <c r="M2" s="257" t="s">
        <v>390</v>
      </c>
      <c r="N2" s="258"/>
    </row>
    <row r="3" spans="2:14" ht="29.25" customHeight="1" x14ac:dyDescent="0.25">
      <c r="B3" s="253"/>
      <c r="C3" s="254"/>
      <c r="D3" s="245"/>
      <c r="E3" s="246"/>
      <c r="F3" s="246"/>
      <c r="G3" s="246"/>
      <c r="H3" s="246"/>
      <c r="I3" s="246"/>
      <c r="J3" s="246"/>
      <c r="K3" s="246"/>
      <c r="L3" s="247"/>
      <c r="M3" s="259" t="s">
        <v>264</v>
      </c>
      <c r="N3" s="260"/>
    </row>
    <row r="4" spans="2:14" ht="29.25" customHeight="1" x14ac:dyDescent="0.25">
      <c r="B4" s="253"/>
      <c r="C4" s="254"/>
      <c r="D4" s="245"/>
      <c r="E4" s="246"/>
      <c r="F4" s="246"/>
      <c r="G4" s="246"/>
      <c r="H4" s="246"/>
      <c r="I4" s="246"/>
      <c r="J4" s="246"/>
      <c r="K4" s="246"/>
      <c r="L4" s="247"/>
      <c r="M4" s="259" t="s">
        <v>389</v>
      </c>
      <c r="N4" s="260"/>
    </row>
    <row r="5" spans="2:14" ht="29.25" customHeight="1" thickBot="1" x14ac:dyDescent="0.3">
      <c r="B5" s="255"/>
      <c r="C5" s="256"/>
      <c r="D5" s="248"/>
      <c r="E5" s="249"/>
      <c r="F5" s="249"/>
      <c r="G5" s="249"/>
      <c r="H5" s="249"/>
      <c r="I5" s="249"/>
      <c r="J5" s="249"/>
      <c r="K5" s="249"/>
      <c r="L5" s="250"/>
      <c r="M5" s="261" t="s">
        <v>245</v>
      </c>
      <c r="N5" s="262"/>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41" t="s">
        <v>309</v>
      </c>
      <c r="E31" s="241"/>
      <c r="N31" s="138"/>
    </row>
    <row r="32" spans="2:14" x14ac:dyDescent="0.25">
      <c r="B32" s="137"/>
      <c r="D32" s="241"/>
      <c r="E32" s="241"/>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77" t="s">
        <v>244</v>
      </c>
      <c r="C2" s="278"/>
      <c r="D2" s="265" t="s">
        <v>300</v>
      </c>
      <c r="E2" s="285" t="s">
        <v>377</v>
      </c>
      <c r="F2" s="258"/>
    </row>
    <row r="3" spans="1:8" ht="19.5" customHeight="1" x14ac:dyDescent="0.25">
      <c r="B3" s="253"/>
      <c r="C3" s="279"/>
      <c r="D3" s="266"/>
      <c r="E3" s="286" t="s">
        <v>264</v>
      </c>
      <c r="F3" s="260"/>
    </row>
    <row r="4" spans="1:8" ht="19.5" customHeight="1" x14ac:dyDescent="0.25">
      <c r="B4" s="253"/>
      <c r="C4" s="279"/>
      <c r="D4" s="266"/>
      <c r="E4" s="286" t="s">
        <v>389</v>
      </c>
      <c r="F4" s="260"/>
    </row>
    <row r="5" spans="1:8" ht="19.5" customHeight="1" thickBot="1" x14ac:dyDescent="0.3">
      <c r="A5" t="s">
        <v>266</v>
      </c>
      <c r="B5" s="255"/>
      <c r="C5" s="280"/>
      <c r="D5" s="267"/>
      <c r="E5" s="287" t="s">
        <v>245</v>
      </c>
      <c r="F5" s="262"/>
    </row>
    <row r="6" spans="1:8" ht="15.75" thickBot="1" x14ac:dyDescent="0.3"/>
    <row r="7" spans="1:8" x14ac:dyDescent="0.25">
      <c r="B7" s="268" t="s">
        <v>299</v>
      </c>
      <c r="C7" s="271" t="s">
        <v>268</v>
      </c>
      <c r="D7" s="272"/>
      <c r="E7" s="281" t="s">
        <v>270</v>
      </c>
      <c r="F7" s="282"/>
    </row>
    <row r="8" spans="1:8" ht="15.75" thickBot="1" x14ac:dyDescent="0.3">
      <c r="B8" s="269"/>
      <c r="C8" s="273"/>
      <c r="D8" s="274"/>
      <c r="E8" s="283"/>
      <c r="F8" s="284"/>
      <c r="H8" s="156">
        <f>+COUNTA($E$10:$E$28)</f>
        <v>0</v>
      </c>
    </row>
    <row r="9" spans="1:8" ht="15.75" thickBot="1" x14ac:dyDescent="0.3">
      <c r="B9" s="270"/>
      <c r="C9" s="275" t="s">
        <v>269</v>
      </c>
      <c r="D9" s="276"/>
      <c r="E9" s="153" t="s">
        <v>271</v>
      </c>
      <c r="F9" s="153" t="s">
        <v>272</v>
      </c>
      <c r="H9" s="156">
        <f>+COUNTA($F$10:$F$28)</f>
        <v>0</v>
      </c>
    </row>
    <row r="10" spans="1:8" ht="15.75" thickBot="1" x14ac:dyDescent="0.3">
      <c r="B10" s="152">
        <v>1</v>
      </c>
      <c r="C10" s="263" t="s">
        <v>273</v>
      </c>
      <c r="D10" s="264"/>
      <c r="E10" s="148"/>
      <c r="F10" s="149"/>
      <c r="H10" s="156">
        <f>+COUNTA($E$10:$E$28)-COUNTA(F10:F28)</f>
        <v>0</v>
      </c>
    </row>
    <row r="11" spans="1:8" ht="15.75" thickBot="1" x14ac:dyDescent="0.3">
      <c r="B11" s="152">
        <v>2</v>
      </c>
      <c r="C11" s="263" t="s">
        <v>275</v>
      </c>
      <c r="D11" s="264" t="s">
        <v>275</v>
      </c>
      <c r="E11" s="148"/>
      <c r="F11" s="149"/>
      <c r="H11" s="157"/>
    </row>
    <row r="12" spans="1:8" ht="15.75" thickBot="1" x14ac:dyDescent="0.3">
      <c r="B12" s="152">
        <v>3</v>
      </c>
      <c r="C12" s="263" t="s">
        <v>276</v>
      </c>
      <c r="D12" s="264" t="s">
        <v>276</v>
      </c>
      <c r="E12" s="148"/>
      <c r="F12" s="149"/>
    </row>
    <row r="13" spans="1:8" ht="15.75" thickBot="1" x14ac:dyDescent="0.3">
      <c r="B13" s="152">
        <v>4</v>
      </c>
      <c r="C13" s="263" t="s">
        <v>388</v>
      </c>
      <c r="D13" s="264" t="s">
        <v>277</v>
      </c>
      <c r="E13" s="148"/>
      <c r="F13" s="149"/>
    </row>
    <row r="14" spans="1:8" ht="15.75" thickBot="1" x14ac:dyDescent="0.3">
      <c r="B14" s="152">
        <v>5</v>
      </c>
      <c r="C14" s="263" t="s">
        <v>278</v>
      </c>
      <c r="D14" s="264" t="s">
        <v>278</v>
      </c>
      <c r="E14" s="148"/>
      <c r="F14" s="149"/>
    </row>
    <row r="15" spans="1:8" ht="15.75" thickBot="1" x14ac:dyDescent="0.3">
      <c r="B15" s="152">
        <v>6</v>
      </c>
      <c r="C15" s="263" t="s">
        <v>279</v>
      </c>
      <c r="D15" s="264" t="s">
        <v>279</v>
      </c>
      <c r="E15" s="148"/>
      <c r="F15" s="149"/>
    </row>
    <row r="16" spans="1:8" ht="15.75" thickBot="1" x14ac:dyDescent="0.3">
      <c r="B16" s="152">
        <v>7</v>
      </c>
      <c r="C16" s="263" t="s">
        <v>280</v>
      </c>
      <c r="D16" s="264" t="s">
        <v>280</v>
      </c>
      <c r="E16" s="148"/>
      <c r="F16" s="149"/>
    </row>
    <row r="17" spans="2:7" ht="28.5" customHeight="1" thickBot="1" x14ac:dyDescent="0.3">
      <c r="B17" s="152">
        <v>8</v>
      </c>
      <c r="C17" s="263" t="s">
        <v>281</v>
      </c>
      <c r="D17" s="264" t="s">
        <v>281</v>
      </c>
      <c r="E17" s="148"/>
      <c r="F17" s="149"/>
    </row>
    <row r="18" spans="2:7" ht="18.75" customHeight="1" thickBot="1" x14ac:dyDescent="0.3">
      <c r="B18" s="152">
        <v>9</v>
      </c>
      <c r="C18" s="263" t="s">
        <v>282</v>
      </c>
      <c r="D18" s="264" t="s">
        <v>282</v>
      </c>
      <c r="E18" s="148"/>
      <c r="F18" s="149"/>
    </row>
    <row r="19" spans="2:7" ht="15.75" thickBot="1" x14ac:dyDescent="0.3">
      <c r="B19" s="152">
        <v>10</v>
      </c>
      <c r="C19" s="263" t="s">
        <v>283</v>
      </c>
      <c r="D19" s="264" t="s">
        <v>283</v>
      </c>
      <c r="E19" s="148"/>
      <c r="F19" s="149"/>
    </row>
    <row r="20" spans="2:7" ht="15.75" thickBot="1" x14ac:dyDescent="0.3">
      <c r="B20" s="152">
        <v>11</v>
      </c>
      <c r="C20" s="263" t="s">
        <v>284</v>
      </c>
      <c r="D20" s="264" t="s">
        <v>284</v>
      </c>
      <c r="E20" s="148"/>
      <c r="F20" s="149"/>
    </row>
    <row r="21" spans="2:7" ht="15.75" thickBot="1" x14ac:dyDescent="0.3">
      <c r="B21" s="152">
        <v>12</v>
      </c>
      <c r="C21" s="263" t="s">
        <v>285</v>
      </c>
      <c r="D21" s="264" t="s">
        <v>285</v>
      </c>
      <c r="E21" s="148"/>
      <c r="F21" s="149"/>
    </row>
    <row r="22" spans="2:7" ht="15.75" thickBot="1" x14ac:dyDescent="0.3">
      <c r="B22" s="152">
        <v>13</v>
      </c>
      <c r="C22" s="263" t="s">
        <v>286</v>
      </c>
      <c r="D22" s="264" t="s">
        <v>286</v>
      </c>
      <c r="E22" s="148"/>
      <c r="F22" s="149"/>
    </row>
    <row r="23" spans="2:7" ht="15.75" thickBot="1" x14ac:dyDescent="0.3">
      <c r="B23" s="152">
        <v>14</v>
      </c>
      <c r="C23" s="263" t="s">
        <v>287</v>
      </c>
      <c r="D23" s="264" t="s">
        <v>287</v>
      </c>
      <c r="E23" s="148"/>
      <c r="F23" s="149"/>
    </row>
    <row r="24" spans="2:7" ht="15.75" thickBot="1" x14ac:dyDescent="0.3">
      <c r="B24" s="152">
        <v>15</v>
      </c>
      <c r="C24" s="263" t="s">
        <v>288</v>
      </c>
      <c r="D24" s="264" t="s">
        <v>288</v>
      </c>
      <c r="E24" s="148"/>
      <c r="F24" s="149"/>
    </row>
    <row r="25" spans="2:7" ht="15.75" thickBot="1" x14ac:dyDescent="0.3">
      <c r="B25" s="152">
        <v>16</v>
      </c>
      <c r="C25" s="263" t="s">
        <v>289</v>
      </c>
      <c r="D25" s="264" t="s">
        <v>289</v>
      </c>
      <c r="E25" s="148"/>
      <c r="F25" s="149"/>
    </row>
    <row r="26" spans="2:7" ht="15.75" thickBot="1" x14ac:dyDescent="0.3">
      <c r="B26" s="152">
        <v>17</v>
      </c>
      <c r="C26" s="263" t="s">
        <v>290</v>
      </c>
      <c r="D26" s="264" t="s">
        <v>290</v>
      </c>
      <c r="E26" s="148"/>
      <c r="F26" s="149"/>
    </row>
    <row r="27" spans="2:7" ht="15.75" thickBot="1" x14ac:dyDescent="0.3">
      <c r="B27" s="152">
        <v>18</v>
      </c>
      <c r="C27" s="263" t="s">
        <v>291</v>
      </c>
      <c r="D27" s="264" t="s">
        <v>291</v>
      </c>
      <c r="E27" s="148"/>
      <c r="F27" s="149"/>
    </row>
    <row r="28" spans="2:7" ht="15.75" thickBot="1" x14ac:dyDescent="0.3">
      <c r="B28" s="152">
        <v>19</v>
      </c>
      <c r="C28" s="263" t="s">
        <v>292</v>
      </c>
      <c r="D28" s="264"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28" priority="1" stopIfTrue="1" operator="equal">
      <formula>"Catastrófico"</formula>
    </cfRule>
    <cfRule type="cellIs" dxfId="27" priority="2" stopIfTrue="1" operator="equal">
      <formula>"Moderado"</formula>
    </cfRule>
    <cfRule type="cellIs" dxfId="26"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E32"/>
  <sheetViews>
    <sheetView showGridLines="0" zoomScale="50" zoomScaleNormal="50" workbookViewId="0">
      <pane ySplit="10" topLeftCell="A11" activePane="bottomLeft" state="frozen"/>
      <selection pane="bottomLeft" activeCell="R15" sqref="R15:R17"/>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8" width="12" style="180" customWidth="1"/>
    <col min="9" max="9" width="35.42578125" style="180" hidden="1" customWidth="1"/>
    <col min="10" max="10" width="23.42578125" style="180" hidden="1" customWidth="1"/>
    <col min="11" max="11" width="43" style="180" customWidth="1"/>
    <col min="12" max="12" width="16.28515625" style="180" hidden="1" customWidth="1"/>
    <col min="13" max="13" width="31" style="180" customWidth="1"/>
    <col min="14" max="14" width="40.42578125" style="179" customWidth="1"/>
    <col min="15" max="17" width="19" style="181" customWidth="1"/>
    <col min="18" max="18" width="17.7109375" style="179" customWidth="1"/>
    <col min="19" max="19" width="16.42578125" style="179" customWidth="1"/>
    <col min="20" max="20" width="6.28515625" style="179" bestFit="1" customWidth="1"/>
    <col min="21" max="21" width="27.28515625" style="179" bestFit="1" customWidth="1"/>
    <col min="22" max="22" width="25.5703125" style="179" customWidth="1"/>
    <col min="23" max="23" width="17.42578125" style="179" customWidth="1"/>
    <col min="24" max="24" width="6.28515625" style="179" bestFit="1" customWidth="1"/>
    <col min="25" max="25" width="16" style="179" customWidth="1"/>
    <col min="26" max="26" width="5.7109375" style="179" customWidth="1"/>
    <col min="27" max="27" width="59.28515625" style="179" customWidth="1"/>
    <col min="28" max="28" width="69.5703125" style="179" customWidth="1"/>
    <col min="29" max="29" width="15.140625" style="179" bestFit="1" customWidth="1"/>
    <col min="30" max="30" width="6.7109375" style="179" customWidth="1"/>
    <col min="31" max="31" width="5" style="179" customWidth="1"/>
    <col min="32" max="32" width="5.42578125" style="179" customWidth="1"/>
    <col min="33" max="33" width="7.140625" style="179" customWidth="1"/>
    <col min="34" max="34" width="6.7109375" style="179" customWidth="1"/>
    <col min="35" max="36" width="12.5703125" style="179" customWidth="1"/>
    <col min="37" max="37" width="13.7109375" style="179" customWidth="1"/>
    <col min="38" max="38" width="8.7109375" style="179" customWidth="1"/>
    <col min="39" max="39" width="10.42578125" style="179" customWidth="1"/>
    <col min="40" max="40" width="9.28515625" style="179" customWidth="1"/>
    <col min="41" max="41" width="9.140625" style="179" customWidth="1"/>
    <col min="42" max="42" width="8.42578125" style="179" customWidth="1"/>
    <col min="43" max="43" width="7.28515625" style="179" customWidth="1"/>
    <col min="44" max="44" width="44.28515625" style="179" hidden="1" customWidth="1"/>
    <col min="45" max="45" width="53.85546875" style="179" customWidth="1"/>
    <col min="46" max="46" width="33.28515625" style="179" customWidth="1"/>
    <col min="47" max="47" width="16.7109375" style="179" customWidth="1"/>
    <col min="48" max="48" width="14.7109375" style="179" customWidth="1"/>
    <col min="49" max="49" width="18.42578125" style="179" customWidth="1"/>
    <col min="50" max="50" width="21" style="179" customWidth="1"/>
    <col min="51" max="51" width="14.140625" style="179" customWidth="1"/>
    <col min="52" max="52" width="17.7109375" style="179" customWidth="1"/>
    <col min="53" max="54" width="20.7109375" style="179" customWidth="1"/>
    <col min="55" max="55" width="15.42578125" style="179" customWidth="1"/>
    <col min="56" max="56" width="19.5703125" style="179" customWidth="1"/>
    <col min="57" max="57" width="17.28515625" style="179" customWidth="1"/>
    <col min="58" max="16384" width="11.42578125" style="179"/>
  </cols>
  <sheetData>
    <row r="1" spans="1:83" ht="15" thickBot="1" x14ac:dyDescent="0.25"/>
    <row r="2" spans="1:83" ht="27.75" customHeight="1" x14ac:dyDescent="0.2">
      <c r="D2" s="293" t="s">
        <v>301</v>
      </c>
      <c r="E2" s="294"/>
      <c r="F2" s="294"/>
      <c r="G2" s="294"/>
      <c r="H2" s="294"/>
      <c r="I2" s="230"/>
      <c r="J2" s="239"/>
      <c r="K2" s="299" t="s">
        <v>205</v>
      </c>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300"/>
      <c r="BD2" s="315" t="s">
        <v>377</v>
      </c>
      <c r="BE2" s="316"/>
    </row>
    <row r="3" spans="1:83" ht="27.75" customHeight="1" x14ac:dyDescent="0.2">
      <c r="D3" s="295"/>
      <c r="E3" s="296"/>
      <c r="F3" s="296"/>
      <c r="G3" s="296"/>
      <c r="H3" s="296"/>
      <c r="I3" s="228"/>
      <c r="J3" s="236"/>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2"/>
      <c r="BD3" s="316" t="s">
        <v>242</v>
      </c>
      <c r="BE3" s="317"/>
    </row>
    <row r="4" spans="1:83" ht="27.75" customHeight="1" x14ac:dyDescent="0.2">
      <c r="D4" s="295"/>
      <c r="E4" s="296"/>
      <c r="F4" s="296"/>
      <c r="G4" s="296"/>
      <c r="H4" s="296"/>
      <c r="I4" s="228"/>
      <c r="J4" s="236"/>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2"/>
      <c r="BD4" s="316" t="s">
        <v>389</v>
      </c>
      <c r="BE4" s="317"/>
    </row>
    <row r="5" spans="1:83" ht="27.75" customHeight="1" thickBot="1" x14ac:dyDescent="0.25">
      <c r="D5" s="297"/>
      <c r="E5" s="298"/>
      <c r="F5" s="298"/>
      <c r="G5" s="298"/>
      <c r="H5" s="298"/>
      <c r="I5" s="229"/>
      <c r="J5" s="240"/>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4"/>
      <c r="BD5" s="316" t="s">
        <v>206</v>
      </c>
      <c r="BE5" s="317"/>
    </row>
    <row r="6" spans="1:83" ht="13.9" customHeight="1" x14ac:dyDescent="0.25">
      <c r="D6" s="119"/>
      <c r="E6" s="120"/>
      <c r="F6" s="120"/>
      <c r="G6" s="120"/>
      <c r="H6" s="120"/>
      <c r="I6" s="120"/>
      <c r="J6" s="120"/>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22"/>
      <c r="BE6" s="121"/>
    </row>
    <row r="7" spans="1:83" ht="26.25" customHeight="1" x14ac:dyDescent="0.2">
      <c r="D7" s="311" t="s">
        <v>42</v>
      </c>
      <c r="E7" s="312"/>
      <c r="F7" s="312"/>
      <c r="G7" s="313"/>
      <c r="H7" s="305" t="s">
        <v>433</v>
      </c>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7"/>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row>
    <row r="8" spans="1:83" ht="54" customHeight="1" x14ac:dyDescent="0.2">
      <c r="D8" s="311" t="s">
        <v>129</v>
      </c>
      <c r="E8" s="312"/>
      <c r="F8" s="312"/>
      <c r="G8" s="313"/>
      <c r="H8" s="305" t="s">
        <v>434</v>
      </c>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c r="BE8" s="307"/>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row>
    <row r="9" spans="1:83" ht="24" customHeight="1" x14ac:dyDescent="0.2">
      <c r="D9" s="311" t="s">
        <v>43</v>
      </c>
      <c r="E9" s="312"/>
      <c r="F9" s="312"/>
      <c r="G9" s="313"/>
      <c r="H9" s="305" t="s">
        <v>435</v>
      </c>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7"/>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row>
    <row r="10" spans="1:83"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9"/>
      <c r="AZ10" s="189"/>
      <c r="BA10" s="189"/>
      <c r="BB10" s="189"/>
      <c r="BC10" s="189"/>
      <c r="BD10" s="189"/>
      <c r="BE10" s="189"/>
    </row>
    <row r="11" spans="1:83" s="184" customFormat="1" ht="37.5" customHeight="1" x14ac:dyDescent="0.25">
      <c r="A11" s="328" t="s">
        <v>266</v>
      </c>
      <c r="B11" s="328"/>
      <c r="C11" s="329"/>
      <c r="D11" s="331" t="s">
        <v>304</v>
      </c>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3" t="s">
        <v>302</v>
      </c>
      <c r="AZ11" s="334"/>
      <c r="BA11" s="334"/>
      <c r="BB11" s="335"/>
      <c r="BC11" s="336" t="s">
        <v>303</v>
      </c>
      <c r="BD11" s="337"/>
      <c r="BE11" s="338"/>
    </row>
    <row r="12" spans="1:83" ht="24.75" customHeight="1" x14ac:dyDescent="0.2">
      <c r="D12" s="310" t="s">
        <v>137</v>
      </c>
      <c r="E12" s="310"/>
      <c r="F12" s="310"/>
      <c r="G12" s="310"/>
      <c r="H12" s="310"/>
      <c r="I12" s="291"/>
      <c r="J12" s="291"/>
      <c r="K12" s="291"/>
      <c r="L12" s="291"/>
      <c r="M12" s="291"/>
      <c r="N12" s="291"/>
      <c r="O12" s="291"/>
      <c r="P12" s="291"/>
      <c r="Q12" s="291"/>
      <c r="R12" s="291"/>
      <c r="S12" s="291" t="s">
        <v>138</v>
      </c>
      <c r="T12" s="291"/>
      <c r="U12" s="291"/>
      <c r="V12" s="291"/>
      <c r="W12" s="291"/>
      <c r="X12" s="291"/>
      <c r="Y12" s="291"/>
      <c r="Z12" s="291" t="s">
        <v>139</v>
      </c>
      <c r="AA12" s="291"/>
      <c r="AB12" s="291"/>
      <c r="AC12" s="291"/>
      <c r="AD12" s="291"/>
      <c r="AE12" s="291"/>
      <c r="AF12" s="291"/>
      <c r="AG12" s="291"/>
      <c r="AH12" s="291"/>
      <c r="AI12" s="291"/>
      <c r="AJ12" s="325" t="s">
        <v>18</v>
      </c>
      <c r="AK12" s="314" t="s">
        <v>140</v>
      </c>
      <c r="AL12" s="292"/>
      <c r="AM12" s="292"/>
      <c r="AN12" s="292"/>
      <c r="AO12" s="292"/>
      <c r="AP12" s="292"/>
      <c r="AQ12" s="292"/>
      <c r="AR12" s="292" t="s">
        <v>34</v>
      </c>
      <c r="AS12" s="292"/>
      <c r="AT12" s="292"/>
      <c r="AU12" s="292"/>
      <c r="AV12" s="292"/>
      <c r="AW12" s="292"/>
      <c r="AX12" s="292"/>
      <c r="AY12" s="292"/>
      <c r="AZ12" s="292"/>
      <c r="BA12" s="292"/>
      <c r="BB12" s="292"/>
      <c r="BC12" s="292"/>
      <c r="BD12" s="292"/>
      <c r="BE12" s="292"/>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row>
    <row r="13" spans="1:83" ht="33" customHeight="1" x14ac:dyDescent="0.2">
      <c r="D13" s="330" t="s">
        <v>0</v>
      </c>
      <c r="E13" s="309" t="s">
        <v>311</v>
      </c>
      <c r="F13" s="290" t="s">
        <v>2</v>
      </c>
      <c r="G13" s="288" t="s">
        <v>317</v>
      </c>
      <c r="H13" s="310" t="s">
        <v>224</v>
      </c>
      <c r="I13" s="341" t="s">
        <v>392</v>
      </c>
      <c r="J13" s="342"/>
      <c r="K13" s="309" t="s">
        <v>307</v>
      </c>
      <c r="L13" s="288" t="s">
        <v>367</v>
      </c>
      <c r="M13" s="309" t="s">
        <v>308</v>
      </c>
      <c r="N13" s="310" t="s">
        <v>1</v>
      </c>
      <c r="O13" s="288" t="s">
        <v>49</v>
      </c>
      <c r="P13" s="345" t="s">
        <v>392</v>
      </c>
      <c r="Q13" s="346"/>
      <c r="R13" s="309" t="s">
        <v>133</v>
      </c>
      <c r="S13" s="309" t="s">
        <v>33</v>
      </c>
      <c r="T13" s="310" t="s">
        <v>5</v>
      </c>
      <c r="U13" s="309" t="s">
        <v>86</v>
      </c>
      <c r="V13" s="309" t="s">
        <v>91</v>
      </c>
      <c r="W13" s="309" t="s">
        <v>44</v>
      </c>
      <c r="X13" s="310" t="s">
        <v>5</v>
      </c>
      <c r="Y13" s="309" t="s">
        <v>47</v>
      </c>
      <c r="Z13" s="308" t="s">
        <v>11</v>
      </c>
      <c r="AA13" s="309" t="s">
        <v>159</v>
      </c>
      <c r="AB13" s="309" t="s">
        <v>204</v>
      </c>
      <c r="AC13" s="309" t="s">
        <v>12</v>
      </c>
      <c r="AD13" s="309" t="s">
        <v>8</v>
      </c>
      <c r="AE13" s="309"/>
      <c r="AF13" s="309"/>
      <c r="AG13" s="309"/>
      <c r="AH13" s="309"/>
      <c r="AI13" s="309"/>
      <c r="AJ13" s="326"/>
      <c r="AK13" s="308" t="s">
        <v>136</v>
      </c>
      <c r="AL13" s="308" t="s">
        <v>45</v>
      </c>
      <c r="AM13" s="308" t="s">
        <v>5</v>
      </c>
      <c r="AN13" s="308" t="s">
        <v>46</v>
      </c>
      <c r="AO13" s="308" t="s">
        <v>5</v>
      </c>
      <c r="AP13" s="308" t="s">
        <v>48</v>
      </c>
      <c r="AQ13" s="308" t="s">
        <v>29</v>
      </c>
      <c r="AR13" s="238" t="s">
        <v>403</v>
      </c>
      <c r="AS13" s="309" t="s">
        <v>34</v>
      </c>
      <c r="AT13" s="309" t="s">
        <v>35</v>
      </c>
      <c r="AU13" s="309" t="s">
        <v>36</v>
      </c>
      <c r="AV13" s="309" t="s">
        <v>37</v>
      </c>
      <c r="AW13" s="309" t="s">
        <v>212</v>
      </c>
      <c r="AX13" s="309" t="s">
        <v>38</v>
      </c>
      <c r="AY13" s="321" t="s">
        <v>37</v>
      </c>
      <c r="AZ13" s="323" t="s">
        <v>213</v>
      </c>
      <c r="BA13" s="323" t="s">
        <v>38</v>
      </c>
      <c r="BB13" s="318" t="s">
        <v>243</v>
      </c>
      <c r="BC13" s="320" t="s">
        <v>37</v>
      </c>
      <c r="BD13" s="320" t="s">
        <v>214</v>
      </c>
      <c r="BE13" s="320" t="s">
        <v>38</v>
      </c>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row>
    <row r="14" spans="1:83" s="195" customFormat="1" ht="94.5" customHeight="1" x14ac:dyDescent="0.25">
      <c r="A14" s="192"/>
      <c r="B14" s="192"/>
      <c r="C14" s="192"/>
      <c r="D14" s="330"/>
      <c r="E14" s="309"/>
      <c r="F14" s="291"/>
      <c r="G14" s="289"/>
      <c r="H14" s="310"/>
      <c r="I14" s="191" t="s">
        <v>398</v>
      </c>
      <c r="J14" s="190" t="s">
        <v>399</v>
      </c>
      <c r="K14" s="309"/>
      <c r="L14" s="289"/>
      <c r="M14" s="309"/>
      <c r="N14" s="310"/>
      <c r="O14" s="289"/>
      <c r="P14" s="212" t="s">
        <v>240</v>
      </c>
      <c r="Q14" s="212" t="s">
        <v>241</v>
      </c>
      <c r="R14" s="309"/>
      <c r="S14" s="309"/>
      <c r="T14" s="310"/>
      <c r="U14" s="309"/>
      <c r="V14" s="309"/>
      <c r="W14" s="310"/>
      <c r="X14" s="310"/>
      <c r="Y14" s="309"/>
      <c r="Z14" s="308"/>
      <c r="AA14" s="309"/>
      <c r="AB14" s="309"/>
      <c r="AC14" s="309"/>
      <c r="AD14" s="193" t="s">
        <v>13</v>
      </c>
      <c r="AE14" s="193" t="s">
        <v>17</v>
      </c>
      <c r="AF14" s="193" t="s">
        <v>28</v>
      </c>
      <c r="AG14" s="193" t="s">
        <v>18</v>
      </c>
      <c r="AH14" s="193" t="s">
        <v>21</v>
      </c>
      <c r="AI14" s="193" t="s">
        <v>24</v>
      </c>
      <c r="AJ14" s="327"/>
      <c r="AK14" s="308"/>
      <c r="AL14" s="308"/>
      <c r="AM14" s="308"/>
      <c r="AN14" s="308"/>
      <c r="AO14" s="308"/>
      <c r="AP14" s="308"/>
      <c r="AQ14" s="308"/>
      <c r="AR14" s="191" t="s">
        <v>404</v>
      </c>
      <c r="AS14" s="309"/>
      <c r="AT14" s="309"/>
      <c r="AU14" s="309"/>
      <c r="AV14" s="309"/>
      <c r="AW14" s="309"/>
      <c r="AX14" s="309"/>
      <c r="AY14" s="322"/>
      <c r="AZ14" s="324"/>
      <c r="BA14" s="324"/>
      <c r="BB14" s="319"/>
      <c r="BC14" s="320"/>
      <c r="BD14" s="320"/>
      <c r="BE14" s="320"/>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row>
    <row r="15" spans="1:83" s="196" customFormat="1" ht="60" customHeight="1" x14ac:dyDescent="0.25">
      <c r="D15" s="339">
        <v>1</v>
      </c>
      <c r="E15" s="339" t="s">
        <v>379</v>
      </c>
      <c r="F15" s="339" t="s">
        <v>132</v>
      </c>
      <c r="G15" s="339" t="s">
        <v>313</v>
      </c>
      <c r="H15" s="339" t="s">
        <v>228</v>
      </c>
      <c r="I15" s="213"/>
      <c r="J15" s="213"/>
      <c r="K15" s="625" t="s">
        <v>405</v>
      </c>
      <c r="L15" s="198"/>
      <c r="M15" s="625" t="s">
        <v>408</v>
      </c>
      <c r="N15" s="625" t="s">
        <v>411</v>
      </c>
      <c r="O15" s="629" t="s">
        <v>122</v>
      </c>
      <c r="P15" s="629" t="s">
        <v>233</v>
      </c>
      <c r="Q15" s="632" t="s">
        <v>235</v>
      </c>
      <c r="R15" s="635">
        <v>50</v>
      </c>
      <c r="S15" s="637" t="str">
        <f>IF(R15&lt;=0,"",IF(R15&lt;=2,"Muy Baja",IF(R15&lt;=24,"Baja",IF(R15&lt;=500,"Media",IF(R15&lt;=5000,"Alta","Muy Alta")))))</f>
        <v>Media</v>
      </c>
      <c r="T15" s="640">
        <f>IF(S15="","",IF(S15="Muy Baja",0.2,IF(S15="Baja",0.4,IF(S15="Media",0.6,IF(S15="Alta",0.8,IF(S15="Muy Alta",1,))))))</f>
        <v>0.6</v>
      </c>
      <c r="U15" s="643" t="s">
        <v>150</v>
      </c>
      <c r="V15" s="640" t="str">
        <f>IF(NOT(ISERROR(MATCH(U15,'[2]Tabla Impacto'!$B$221:$B$223,0))),'[2]Tabla Impacto'!$F$223&amp;"Por favor no seleccionar los criterios de impacto(Afectación Económica o presupuestal y Pérdida Reputacional)",U15)</f>
        <v xml:space="preserve">     El riesgo afecta la imagen de la entidad internamente, de conocimiento general, nivel interno, de junta dircetiva y accionistas y/o de provedores</v>
      </c>
      <c r="W15" s="645" t="str">
        <f>IF(OR(V15='[3]Tabla Impacto'!$C$11,V15='[3]Tabla Impacto'!$D$11),"Leve",IF(OR(V15='[3]Tabla Impacto'!$C$12,V15='[3]Tabla Impacto'!$D$12),"Menor",IF(OR(V15='[3]Tabla Impacto'!$C$13,V15='[3]Tabla Impacto'!$D$13),"Moderado",IF(OR(V15='[3]Tabla Impacto'!$C$14,V15='[3]Tabla Impacto'!$D$14),"Mayor",IF(OR(V15='[3]Tabla Impacto'!$C$15,V15='[3]Tabla Impacto'!$D$15),"Catastrófico","")))))</f>
        <v>Menor</v>
      </c>
      <c r="X15" s="640">
        <f>IF(W15="","",IF(W15="Leve",0.2,IF(W15="Menor",0.4,IF(W15="Moderado",0.6,IF(W15="Mayor",0.8,IF(W15="Catastrófico",1,))))))</f>
        <v>0.4</v>
      </c>
      <c r="Y15" s="637" t="str">
        <f>IF(OR(AND(S15="Muy Baja",W15="Leve"),AND(S15="Muy Baja",W15="Menor"),AND(S15="Baja",W15="Leve")),"Bajo",IF(OR(AND(S15="Muy baja",W15="Moderado"),AND(S15="Baja",W15="Menor"),AND(S15="Baja",W15="Moderado"),AND(S15="Media",W15="Leve"),AND(S15="Media",W15="Menor"),AND(S15="Media",W15="Moderado"),AND(S15="Alta",W15="Leve"),AND(S15="Alta",W15="Menor")),"Moderado",IF(OR(AND(S15="Muy Baja",W15="Mayor"),AND(S15="Baja",W15="Mayor"),AND(S15="Media",W15="Mayor"),AND(S15="Alta",W15="Moderado"),AND(S15="Alta",W15="Mayor"),AND(S15="Muy Alta",W15="Leve"),AND(S15="Muy Alta",W15="Menor"),AND(S15="Muy Alta",W15="Moderado"),AND(S15="Muy Alta",W15="Mayor")),"Alto",IF(OR(AND(S15="Muy Baja",W15="Catastrófico"),AND(S15="Baja",W15="Catastrófico"),AND(S15="Media",W15="Catastrófico"),AND(S15="Alta",W15="Catastrófico"),AND(S15="Muy Alta",W15="Catastrófico")),"Extremo",""))))</f>
        <v>Moderado</v>
      </c>
      <c r="Z15" s="648">
        <v>1</v>
      </c>
      <c r="AA15" s="649" t="s">
        <v>414</v>
      </c>
      <c r="AB15" s="650" t="s">
        <v>415</v>
      </c>
      <c r="AC15" s="202" t="str">
        <f>IF(OR(AD15="Preventivo",AD15="Detectivo"),"Probabilidad",IF(AD15="Correctivo","Impacto",""))</f>
        <v>Probabilidad</v>
      </c>
      <c r="AD15" s="203" t="s">
        <v>15</v>
      </c>
      <c r="AE15" s="203" t="s">
        <v>9</v>
      </c>
      <c r="AF15" s="200" t="str">
        <f>IF(AND(AD15="Preventivo",AE15="Automático"),"50%",IF(AND(AD15="Preventivo",AE15="Manual"),"40%",IF(AND(AD15="Detectivo",AE15="Automático"),"40%",IF(AND(AD15="Detectivo",AE15="Manual"),"30%",IF(AND(AD15="Correctivo",AE15="Automático"),"35%",IF(AND(AD15="Correctivo",AE15="Manual"),"25%",""))))))</f>
        <v>30%</v>
      </c>
      <c r="AG15" s="203" t="s">
        <v>20</v>
      </c>
      <c r="AH15" s="203" t="s">
        <v>22</v>
      </c>
      <c r="AI15" s="203" t="s">
        <v>119</v>
      </c>
      <c r="AJ15" s="198" t="s">
        <v>425</v>
      </c>
      <c r="AK15" s="217">
        <f>IFERROR(IF(AC15="Probabilidad",(T15-(+T15*AF15)),IF(AC15="Impacto",T15,"")),"")</f>
        <v>0.42</v>
      </c>
      <c r="AL15" s="204" t="str">
        <f>IFERROR(IF(AK15="","",IF(AK15&lt;=0.2,"Muy Baja",IF(AK15&lt;=0.4,"Baja",IF(AK15&lt;=0.6,"Media",IF(AK15&lt;=0.8,"Alta","Muy Alta"))))),"")</f>
        <v>Media</v>
      </c>
      <c r="AM15" s="200">
        <f t="shared" ref="AM15" si="0">+AK15</f>
        <v>0.42</v>
      </c>
      <c r="AN15" s="204" t="str">
        <f>IFERROR(IF(AO15="","",IF(AO15&lt;=0.2,"Leve",IF(AO15&lt;=0.4,"Menor",IF(AO15&lt;=0.6,"Moderado",IF(AO15&lt;=0.8,"Mayor","Catastrófico"))))),"")</f>
        <v>Menor</v>
      </c>
      <c r="AO15" s="200">
        <f>IFERROR(IF(AC15="Impacto",(X15-(+X15*AF15)),IF(AC15="Probabilidad",X15,"")),"")</f>
        <v>0.4</v>
      </c>
      <c r="AP15" s="204" t="str">
        <f t="shared" ref="AP15" si="1">IFERROR(IF(OR(AND(AL15="Muy Baja",AN15="Leve"),AND(AL15="Muy Baja",AN15="Menor"),AND(AL15="Baja",AN15="Leve")),"Bajo",IF(OR(AND(AL15="Muy baja",AN15="Moderado"),AND(AL15="Baja",AN15="Menor"),AND(AL15="Baja",AN15="Moderado"),AND(AL15="Media",AN15="Leve"),AND(AL15="Media",AN15="Menor"),AND(AL15="Media",AN15="Moderado"),AND(AL15="Alta",AN15="Leve"),AND(AL15="Alta",AN15="Menor")),"Moderado",IF(OR(AND(AL15="Muy Baja",AN15="Mayor"),AND(AL15="Baja",AN15="Mayor"),AND(AL15="Media",AN15="Mayor"),AND(AL15="Alta",AN15="Moderado"),AND(AL15="Alta",AN15="Mayor"),AND(AL15="Muy Alta",AN15="Leve"),AND(AL15="Muy Alta",AN15="Menor"),AND(AL15="Muy Alta",AN15="Moderado"),AND(AL15="Muy Alta",AN15="Mayor")),"Alto",IF(OR(AND(AL15="Muy Baja",AN15="Catastrófico"),AND(AL15="Baja",AN15="Catastrófico"),AND(AL15="Media",AN15="Catastrófico"),AND(AL15="Alta",AN15="Catastrófico"),AND(AL15="Muy Alta",AN15="Catastrófico")),"Extremo","")))),"")</f>
        <v>Moderado</v>
      </c>
      <c r="AQ15" s="203" t="s">
        <v>134</v>
      </c>
      <c r="AR15" s="203"/>
      <c r="AS15" s="218" t="s">
        <v>426</v>
      </c>
      <c r="AT15" s="653" t="s">
        <v>427</v>
      </c>
      <c r="AU15" s="205">
        <v>45687</v>
      </c>
      <c r="AV15" s="205"/>
      <c r="AW15" s="198"/>
      <c r="AX15" s="198"/>
      <c r="AY15" s="205"/>
      <c r="AZ15" s="198"/>
      <c r="BA15" s="219"/>
      <c r="BB15" s="219"/>
      <c r="BC15" s="221"/>
      <c r="BD15" s="219"/>
      <c r="BE15" s="219"/>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row>
    <row r="16" spans="1:83" s="196" customFormat="1" ht="60" customHeight="1" x14ac:dyDescent="0.25">
      <c r="D16" s="626"/>
      <c r="E16" s="626"/>
      <c r="F16" s="626"/>
      <c r="G16" s="626"/>
      <c r="H16" s="626"/>
      <c r="I16" s="213"/>
      <c r="J16" s="213"/>
      <c r="K16" s="625"/>
      <c r="L16" s="198"/>
      <c r="M16" s="625"/>
      <c r="N16" s="625"/>
      <c r="O16" s="630"/>
      <c r="P16" s="630"/>
      <c r="Q16" s="633"/>
      <c r="R16" s="635"/>
      <c r="S16" s="638"/>
      <c r="T16" s="641"/>
      <c r="U16" s="643"/>
      <c r="V16" s="641"/>
      <c r="W16" s="646"/>
      <c r="X16" s="641"/>
      <c r="Y16" s="638"/>
      <c r="Z16" s="648">
        <v>2</v>
      </c>
      <c r="AA16" s="649" t="s">
        <v>416</v>
      </c>
      <c r="AB16" s="650" t="s">
        <v>417</v>
      </c>
      <c r="AC16" s="202" t="str">
        <f t="shared" ref="AC16:AC25" si="2">IF(OR(AD16="Preventivo",AD16="Detectivo"),"Probabilidad",IF(AD16="Correctivo","Impacto",""))</f>
        <v>Probabilidad</v>
      </c>
      <c r="AD16" s="203" t="s">
        <v>15</v>
      </c>
      <c r="AE16" s="203" t="s">
        <v>9</v>
      </c>
      <c r="AF16" s="200" t="str">
        <f t="shared" ref="AF16:AF25" si="3">IF(AND(AD16="Preventivo",AE16="Automático"),"50%",IF(AND(AD16="Preventivo",AE16="Manual"),"40%",IF(AND(AD16="Detectivo",AE16="Automático"),"40%",IF(AND(AD16="Detectivo",AE16="Manual"),"30%",IF(AND(AD16="Correctivo",AE16="Automático"),"35%",IF(AND(AD16="Correctivo",AE16="Manual"),"25%",""))))))</f>
        <v>30%</v>
      </c>
      <c r="AG16" s="203" t="s">
        <v>19</v>
      </c>
      <c r="AH16" s="203" t="s">
        <v>22</v>
      </c>
      <c r="AI16" s="203" t="s">
        <v>118</v>
      </c>
      <c r="AJ16" s="198" t="s">
        <v>425</v>
      </c>
      <c r="AK16" s="216">
        <f>IFERROR(IF(AND(AC15="Probabilidad",AC16="Probabilidad"),(AM15-(+AM15*AF16)),IF(AC16="Probabilidad",(U15-(+U15*AC16)),IF(AC16="Impacto",AM15,""))),"")</f>
        <v>0.29399999999999998</v>
      </c>
      <c r="AL16" s="204" t="str">
        <f t="shared" ref="AL16:AL25" si="4">IFERROR(IF(AK16="","",IF(AK16&lt;=0.2,"Muy Baja",IF(AK16&lt;=0.4,"Baja",IF(AK16&lt;=0.6,"Media",IF(AK16&lt;=0.8,"Alta","Muy Alta"))))),"")</f>
        <v>Baja</v>
      </c>
      <c r="AM16" s="200">
        <f t="shared" ref="AM16:AM25" si="5">+AK16</f>
        <v>0.29399999999999998</v>
      </c>
      <c r="AN16" s="204" t="str">
        <f t="shared" ref="AN16:AN25" si="6">IFERROR(IF(AO16="","",IF(AO16&lt;=0.2,"Leve",IF(AO16&lt;=0.4,"Menor",IF(AO16&lt;=0.6,"Moderado",IF(AO16&lt;=0.8,"Mayor","Catastrófico"))))),"")</f>
        <v>Leve</v>
      </c>
      <c r="AO16" s="200">
        <f t="shared" ref="AO16:AO25" si="7">IFERROR(IF(AC16="Impacto",(X16-(+X16*AF16)),IF(AC16="Probabilidad",X16,"")),"")</f>
        <v>0</v>
      </c>
      <c r="AP16" s="204" t="str">
        <f t="shared" ref="AP16:AP25" si="8">IFERROR(IF(OR(AND(AL16="Muy Baja",AN16="Leve"),AND(AL16="Muy Baja",AN16="Menor"),AND(AL16="Baja",AN16="Leve")),"Bajo",IF(OR(AND(AL16="Muy baja",AN16="Moderado"),AND(AL16="Baja",AN16="Menor"),AND(AL16="Baja",AN16="Moderado"),AND(AL16="Media",AN16="Leve"),AND(AL16="Media",AN16="Menor"),AND(AL16="Media",AN16="Moderado"),AND(AL16="Alta",AN16="Leve"),AND(AL16="Alta",AN16="Menor")),"Moderado",IF(OR(AND(AL16="Muy Baja",AN16="Mayor"),AND(AL16="Baja",AN16="Mayor"),AND(AL16="Media",AN16="Mayor"),AND(AL16="Alta",AN16="Moderado"),AND(AL16="Alta",AN16="Mayor"),AND(AL16="Muy Alta",AN16="Leve"),AND(AL16="Muy Alta",AN16="Menor"),AND(AL16="Muy Alta",AN16="Moderado"),AND(AL16="Muy Alta",AN16="Mayor")),"Alto",IF(OR(AND(AL16="Muy Baja",AN16="Catastrófico"),AND(AL16="Baja",AN16="Catastrófico"),AND(AL16="Media",AN16="Catastrófico"),AND(AL16="Alta",AN16="Catastrófico"),AND(AL16="Muy Alta",AN16="Catastrófico")),"Extremo","")))),"")</f>
        <v>Bajo</v>
      </c>
      <c r="AQ16" s="203" t="s">
        <v>134</v>
      </c>
      <c r="AR16" s="203"/>
      <c r="AS16" s="218" t="s">
        <v>428</v>
      </c>
      <c r="AT16" s="653"/>
      <c r="AU16" s="205">
        <v>45687</v>
      </c>
      <c r="AV16" s="205"/>
      <c r="AW16" s="198"/>
      <c r="AX16" s="198"/>
      <c r="AY16" s="205"/>
      <c r="AZ16" s="198"/>
      <c r="BA16" s="198"/>
      <c r="BB16" s="198"/>
      <c r="BC16" s="205"/>
      <c r="BD16" s="198"/>
      <c r="BE16" s="198"/>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row>
    <row r="17" spans="4:83" s="196" customFormat="1" ht="60" customHeight="1" x14ac:dyDescent="0.25">
      <c r="D17" s="340"/>
      <c r="E17" s="340"/>
      <c r="F17" s="340"/>
      <c r="G17" s="340"/>
      <c r="H17" s="340"/>
      <c r="I17" s="213"/>
      <c r="J17" s="213"/>
      <c r="K17" s="625"/>
      <c r="L17" s="198"/>
      <c r="M17" s="625"/>
      <c r="N17" s="625"/>
      <c r="O17" s="631"/>
      <c r="P17" s="631"/>
      <c r="Q17" s="634"/>
      <c r="R17" s="635"/>
      <c r="S17" s="639"/>
      <c r="T17" s="642"/>
      <c r="U17" s="643"/>
      <c r="V17" s="642"/>
      <c r="W17" s="647"/>
      <c r="X17" s="642"/>
      <c r="Y17" s="639"/>
      <c r="Z17" s="648">
        <v>3</v>
      </c>
      <c r="AA17" s="651" t="s">
        <v>418</v>
      </c>
      <c r="AB17" s="652" t="s">
        <v>419</v>
      </c>
      <c r="AC17" s="202" t="str">
        <f t="shared" si="2"/>
        <v>Impacto</v>
      </c>
      <c r="AD17" s="203" t="s">
        <v>16</v>
      </c>
      <c r="AE17" s="203" t="s">
        <v>9</v>
      </c>
      <c r="AF17" s="200" t="str">
        <f t="shared" si="3"/>
        <v>25%</v>
      </c>
      <c r="AG17" s="203" t="s">
        <v>20</v>
      </c>
      <c r="AH17" s="203" t="s">
        <v>22</v>
      </c>
      <c r="AI17" s="203" t="s">
        <v>118</v>
      </c>
      <c r="AJ17" s="198" t="s">
        <v>425</v>
      </c>
      <c r="AK17" s="216">
        <f>IFERROR(IF(AND(AC16="Probabilidad",AC17="Probabilidad"),(AM16-(+AM16*AF17)),IF(AC17="Probabilidad",(U16-(+U16*AC17)),IF(AC17="Impacto",AM16,""))),"")</f>
        <v>0.29399999999999998</v>
      </c>
      <c r="AL17" s="204" t="str">
        <f t="shared" si="4"/>
        <v>Baja</v>
      </c>
      <c r="AM17" s="200">
        <f t="shared" si="5"/>
        <v>0.29399999999999998</v>
      </c>
      <c r="AN17" s="204" t="str">
        <f t="shared" ref="AN17" si="9">IFERROR(IF(AO17="","",IF(AO17&lt;=0.2,"Leve",IF(AO17&lt;=0.4,"Menor",IF(AO17&lt;=0.6,"Moderado",IF(AO17&lt;=0.8,"Mayor","Catastrófico"))))),"")</f>
        <v>Leve</v>
      </c>
      <c r="AO17" s="200">
        <f t="shared" ref="AO17" si="10">IFERROR(IF(AC17="Impacto",(X17-(+X17*AF17)),IF(AC17="Probabilidad",X17,"")),"")</f>
        <v>0</v>
      </c>
      <c r="AP17" s="204" t="str">
        <f t="shared" ref="AP17" si="11">IFERROR(IF(OR(AND(AL17="Muy Baja",AN17="Leve"),AND(AL17="Muy Baja",AN17="Menor"),AND(AL17="Baja",AN17="Leve")),"Bajo",IF(OR(AND(AL17="Muy baja",AN17="Moderado"),AND(AL17="Baja",AN17="Menor"),AND(AL17="Baja",AN17="Moderado"),AND(AL17="Media",AN17="Leve"),AND(AL17="Media",AN17="Menor"),AND(AL17="Media",AN17="Moderado"),AND(AL17="Alta",AN17="Leve"),AND(AL17="Alta",AN17="Menor")),"Moderado",IF(OR(AND(AL17="Muy Baja",AN17="Mayor"),AND(AL17="Baja",AN17="Mayor"),AND(AL17="Media",AN17="Mayor"),AND(AL17="Alta",AN17="Moderado"),AND(AL17="Alta",AN17="Mayor"),AND(AL17="Muy Alta",AN17="Leve"),AND(AL17="Muy Alta",AN17="Menor"),AND(AL17="Muy Alta",AN17="Moderado"),AND(AL17="Muy Alta",AN17="Mayor")),"Alto",IF(OR(AND(AL17="Muy Baja",AN17="Catastrófico"),AND(AL17="Baja",AN17="Catastrófico"),AND(AL17="Media",AN17="Catastrófico"),AND(AL17="Alta",AN17="Catastrófico"),AND(AL17="Muy Alta",AN17="Catastrófico")),"Extremo","")))),"")</f>
        <v>Bajo</v>
      </c>
      <c r="AQ17" s="203" t="s">
        <v>134</v>
      </c>
      <c r="AR17" s="203"/>
      <c r="AS17" s="218" t="s">
        <v>429</v>
      </c>
      <c r="AT17" s="653"/>
      <c r="AU17" s="205">
        <v>45687</v>
      </c>
      <c r="AV17" s="205"/>
      <c r="AW17" s="198"/>
      <c r="AX17" s="198"/>
      <c r="AY17" s="205"/>
      <c r="AZ17" s="198"/>
      <c r="BA17" s="198"/>
      <c r="BB17" s="198"/>
      <c r="BC17" s="205"/>
      <c r="BD17" s="198"/>
      <c r="BE17" s="198"/>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row>
    <row r="18" spans="4:83" s="196" customFormat="1" ht="60" customHeight="1" x14ac:dyDescent="0.25">
      <c r="D18" s="339">
        <v>2</v>
      </c>
      <c r="E18" s="339" t="s">
        <v>379</v>
      </c>
      <c r="F18" s="339" t="s">
        <v>379</v>
      </c>
      <c r="G18" s="339" t="s">
        <v>132</v>
      </c>
      <c r="H18" s="339" t="s">
        <v>313</v>
      </c>
      <c r="I18" s="213" t="s">
        <v>228</v>
      </c>
      <c r="J18" s="197"/>
      <c r="K18" s="625" t="s">
        <v>406</v>
      </c>
      <c r="L18" s="198"/>
      <c r="M18" s="625" t="s">
        <v>409</v>
      </c>
      <c r="N18" s="627" t="s">
        <v>412</v>
      </c>
      <c r="O18" s="629" t="s">
        <v>122</v>
      </c>
      <c r="P18" s="629" t="s">
        <v>233</v>
      </c>
      <c r="Q18" s="629" t="s">
        <v>235</v>
      </c>
      <c r="R18" s="635">
        <v>800</v>
      </c>
      <c r="S18" s="637" t="str">
        <f t="shared" ref="S16:S20" si="12">IF(R18&lt;=0,"",IF(R18&lt;=2,"Muy Baja",IF(R18&lt;=24,"Baja",IF(R18&lt;=500,"Media",IF(R18&lt;=5000,"Alta","Muy Alta")))))</f>
        <v>Alta</v>
      </c>
      <c r="T18" s="640">
        <f t="shared" ref="T16:T20" si="13">IF(S18="","",IF(S18="Muy Baja",0.2,IF(S18="Baja",0.4,IF(S18="Media",0.6,IF(S18="Alta",0.8,IF(S18="Muy Alta",1,))))))</f>
        <v>0.8</v>
      </c>
      <c r="U18" s="643" t="s">
        <v>151</v>
      </c>
      <c r="V18" s="640" t="str">
        <f>IF(NOT(ISERROR(MATCH(U18,'[2]Tabla Impacto'!$B$221:$B$223,0))),'[2]Tabla Impacto'!$F$223&amp;"Por favor no seleccionar los criterios de impacto(Afectación Económica o presupuestal y Pérdida Reputacional)",U18)</f>
        <v xml:space="preserve">     El riesgo afecta la imagen de la entidad con algunos usuarios de relevancia frente al logro de los objetivos</v>
      </c>
      <c r="W18" s="645" t="str">
        <f>IF(OR(V18='[3]Tabla Impacto'!$C$11,V18='[3]Tabla Impacto'!$D$11),"Leve",IF(OR(V18='[3]Tabla Impacto'!$C$12,V18='[3]Tabla Impacto'!$D$12),"Menor",IF(OR(V18='[3]Tabla Impacto'!$C$13,V18='[3]Tabla Impacto'!$D$13),"Moderado",IF(OR(V18='[3]Tabla Impacto'!$C$14,V18='[3]Tabla Impacto'!$D$14),"Mayor",IF(OR(V18='[3]Tabla Impacto'!$C$15,V18='[3]Tabla Impacto'!$D$15),"Catastrófico","")))))</f>
        <v>Moderado</v>
      </c>
      <c r="X18" s="640">
        <f t="shared" ref="X18:X25" si="14">IF(W18="","",IF(W18="Leve",0.2,IF(W18="Menor",0.4,IF(W18="Moderado",0.6,IF(W18="Mayor",0.8,IF(W18="Catastrófico",1,))))))</f>
        <v>0.6</v>
      </c>
      <c r="Y18" s="637" t="str">
        <f t="shared" ref="Y18:Y25" si="15">IF(OR(AND(S18="Muy Baja",W18="Leve"),AND(S18="Muy Baja",W18="Menor"),AND(S18="Baja",W18="Leve")),"Bajo",IF(OR(AND(S18="Muy baja",W18="Moderado"),AND(S18="Baja",W18="Menor"),AND(S18="Baja",W18="Moderado"),AND(S18="Media",W18="Leve"),AND(S18="Media",W18="Menor"),AND(S18="Media",W18="Moderado"),AND(S18="Alta",W18="Leve"),AND(S18="Alta",W18="Menor")),"Moderado",IF(OR(AND(S18="Muy Baja",W18="Mayor"),AND(S18="Baja",W18="Mayor"),AND(S18="Media",W18="Mayor"),AND(S18="Alta",W18="Moderado"),AND(S18="Alta",W18="Mayor"),AND(S18="Muy Alta",W18="Leve"),AND(S18="Muy Alta",W18="Menor"),AND(S18="Muy Alta",W18="Moderado"),AND(S18="Muy Alta",W18="Mayor")),"Alto",IF(OR(AND(S18="Muy Baja",W18="Catastrófico"),AND(S18="Baja",W18="Catastrófico"),AND(S18="Media",W18="Catastrófico"),AND(S18="Alta",W18="Catastrófico"),AND(S18="Muy Alta",W18="Catastrófico")),"Extremo",""))))</f>
        <v>Alto</v>
      </c>
      <c r="Z18" s="648">
        <v>1</v>
      </c>
      <c r="AA18" s="649" t="s">
        <v>420</v>
      </c>
      <c r="AB18" s="650" t="s">
        <v>421</v>
      </c>
      <c r="AC18" s="202" t="str">
        <f t="shared" si="2"/>
        <v>Probabilidad</v>
      </c>
      <c r="AD18" s="203" t="s">
        <v>14</v>
      </c>
      <c r="AE18" s="203" t="s">
        <v>9</v>
      </c>
      <c r="AF18" s="200" t="str">
        <f t="shared" si="3"/>
        <v>40%</v>
      </c>
      <c r="AG18" s="203" t="s">
        <v>19</v>
      </c>
      <c r="AH18" s="203" t="s">
        <v>22</v>
      </c>
      <c r="AI18" s="203" t="s">
        <v>118</v>
      </c>
      <c r="AJ18" s="198" t="s">
        <v>425</v>
      </c>
      <c r="AK18" s="217">
        <f>IFERROR(IF(AC18="Probabilidad",(T18-(+T18*AF18)),IF(AC18="Impacto",T18,"")),"")</f>
        <v>0.48</v>
      </c>
      <c r="AL18" s="204" t="str">
        <f t="shared" si="4"/>
        <v>Media</v>
      </c>
      <c r="AM18" s="200">
        <f t="shared" si="5"/>
        <v>0.48</v>
      </c>
      <c r="AN18" s="204" t="str">
        <f t="shared" si="6"/>
        <v>Moderado</v>
      </c>
      <c r="AO18" s="200">
        <f t="shared" si="7"/>
        <v>0.6</v>
      </c>
      <c r="AP18" s="204" t="str">
        <f t="shared" si="8"/>
        <v>Moderado</v>
      </c>
      <c r="AQ18" s="203" t="s">
        <v>134</v>
      </c>
      <c r="AR18" s="203"/>
      <c r="AS18" s="218" t="s">
        <v>430</v>
      </c>
      <c r="AT18" s="218" t="s">
        <v>427</v>
      </c>
      <c r="AU18" s="205">
        <v>45687</v>
      </c>
      <c r="AV18" s="205"/>
      <c r="AW18" s="198"/>
      <c r="AX18" s="198"/>
      <c r="AY18" s="205"/>
      <c r="AZ18" s="198"/>
      <c r="BA18" s="198"/>
      <c r="BB18" s="198"/>
      <c r="BC18" s="205"/>
      <c r="BD18" s="198"/>
      <c r="BE18" s="198"/>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row>
    <row r="19" spans="4:83" s="196" customFormat="1" ht="105" customHeight="1" x14ac:dyDescent="0.25">
      <c r="D19" s="340"/>
      <c r="E19" s="340"/>
      <c r="F19" s="340"/>
      <c r="G19" s="340"/>
      <c r="H19" s="340"/>
      <c r="I19" s="213"/>
      <c r="J19" s="197"/>
      <c r="K19" s="625"/>
      <c r="L19" s="198"/>
      <c r="M19" s="625"/>
      <c r="N19" s="627"/>
      <c r="O19" s="631"/>
      <c r="P19" s="631"/>
      <c r="Q19" s="631"/>
      <c r="R19" s="635"/>
      <c r="S19" s="639"/>
      <c r="T19" s="642"/>
      <c r="U19" s="643"/>
      <c r="V19" s="642"/>
      <c r="W19" s="647"/>
      <c r="X19" s="642"/>
      <c r="Y19" s="639"/>
      <c r="Z19" s="648">
        <v>2</v>
      </c>
      <c r="AA19" s="649" t="s">
        <v>422</v>
      </c>
      <c r="AB19" s="650" t="s">
        <v>423</v>
      </c>
      <c r="AC19" s="202" t="str">
        <f t="shared" si="2"/>
        <v>Probabilidad</v>
      </c>
      <c r="AD19" s="203" t="s">
        <v>15</v>
      </c>
      <c r="AE19" s="203" t="s">
        <v>9</v>
      </c>
      <c r="AF19" s="200" t="str">
        <f t="shared" si="3"/>
        <v>30%</v>
      </c>
      <c r="AG19" s="203" t="s">
        <v>19</v>
      </c>
      <c r="AH19" s="203" t="s">
        <v>22</v>
      </c>
      <c r="AI19" s="203" t="s">
        <v>119</v>
      </c>
      <c r="AJ19" s="198" t="s">
        <v>425</v>
      </c>
      <c r="AK19" s="216">
        <f>IFERROR(IF(AND(AC18="Probabilidad",AC19="Probabilidad"),(AM18-(+AM18*AF19)),IF(AC19="Probabilidad",(U18-(+U18*AC19)),IF(AC19="Impacto",AM18,""))),"")</f>
        <v>0.33599999999999997</v>
      </c>
      <c r="AL19" s="204" t="str">
        <f t="shared" ref="AL19" si="16">IFERROR(IF(AK19="","",IF(AK19&lt;=0.2,"Muy Baja",IF(AK19&lt;=0.4,"Baja",IF(AK19&lt;=0.6,"Media",IF(AK19&lt;=0.8,"Alta","Muy Alta"))))),"")</f>
        <v>Baja</v>
      </c>
      <c r="AM19" s="200">
        <f t="shared" ref="AM19" si="17">+AK19</f>
        <v>0.33599999999999997</v>
      </c>
      <c r="AN19" s="204" t="str">
        <f t="shared" ref="AN19" si="18">IFERROR(IF(AO19="","",IF(AO19&lt;=0.2,"Leve",IF(AO19&lt;=0.4,"Menor",IF(AO19&lt;=0.6,"Moderado",IF(AO19&lt;=0.8,"Mayor","Catastrófico"))))),"")</f>
        <v>Leve</v>
      </c>
      <c r="AO19" s="200">
        <f t="shared" ref="AO19" si="19">IFERROR(IF(AC19="Impacto",(X19-(+X19*AF19)),IF(AC19="Probabilidad",X19,"")),"")</f>
        <v>0</v>
      </c>
      <c r="AP19" s="204" t="str">
        <f t="shared" ref="AP19" si="20">IFERROR(IF(OR(AND(AL19="Muy Baja",AN19="Leve"),AND(AL19="Muy Baja",AN19="Menor"),AND(AL19="Baja",AN19="Leve")),"Bajo",IF(OR(AND(AL19="Muy baja",AN19="Moderado"),AND(AL19="Baja",AN19="Menor"),AND(AL19="Baja",AN19="Moderado"),AND(AL19="Media",AN19="Leve"),AND(AL19="Media",AN19="Menor"),AND(AL19="Media",AN19="Moderado"),AND(AL19="Alta",AN19="Leve"),AND(AL19="Alta",AN19="Menor")),"Moderado",IF(OR(AND(AL19="Muy Baja",AN19="Mayor"),AND(AL19="Baja",AN19="Mayor"),AND(AL19="Media",AN19="Mayor"),AND(AL19="Alta",AN19="Moderado"),AND(AL19="Alta",AN19="Mayor"),AND(AL19="Muy Alta",AN19="Leve"),AND(AL19="Muy Alta",AN19="Menor"),AND(AL19="Muy Alta",AN19="Moderado"),AND(AL19="Muy Alta",AN19="Mayor")),"Alto",IF(OR(AND(AL19="Muy Baja",AN19="Catastrófico"),AND(AL19="Baja",AN19="Catastrófico"),AND(AL19="Media",AN19="Catastrófico"),AND(AL19="Alta",AN19="Catastrófico"),AND(AL19="Muy Alta",AN19="Catastrófico")),"Extremo","")))),"")</f>
        <v>Bajo</v>
      </c>
      <c r="AQ19" s="203" t="s">
        <v>134</v>
      </c>
      <c r="AR19" s="203"/>
      <c r="AS19" s="218" t="s">
        <v>431</v>
      </c>
      <c r="AT19" s="218" t="s">
        <v>427</v>
      </c>
      <c r="AU19" s="205">
        <v>45687</v>
      </c>
      <c r="AV19" s="205"/>
      <c r="AW19" s="198"/>
      <c r="AX19" s="198"/>
      <c r="AY19" s="205"/>
      <c r="AZ19" s="198"/>
      <c r="BA19" s="198"/>
      <c r="BB19" s="198"/>
      <c r="BC19" s="205"/>
      <c r="BD19" s="198"/>
      <c r="BE19" s="198"/>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row>
    <row r="20" spans="4:83" s="196" customFormat="1" ht="103.5" customHeight="1" x14ac:dyDescent="0.25">
      <c r="D20" s="624">
        <v>3</v>
      </c>
      <c r="E20" s="213" t="s">
        <v>379</v>
      </c>
      <c r="F20" s="213" t="s">
        <v>379</v>
      </c>
      <c r="G20" s="213" t="s">
        <v>132</v>
      </c>
      <c r="H20" s="213" t="s">
        <v>313</v>
      </c>
      <c r="I20" s="213" t="s">
        <v>228</v>
      </c>
      <c r="J20" s="197"/>
      <c r="K20" s="218" t="s">
        <v>407</v>
      </c>
      <c r="L20" s="198"/>
      <c r="M20" s="218" t="s">
        <v>410</v>
      </c>
      <c r="N20" s="628" t="s">
        <v>437</v>
      </c>
      <c r="O20" s="214" t="s">
        <v>438</v>
      </c>
      <c r="P20" s="198" t="s">
        <v>235</v>
      </c>
      <c r="Q20" s="198" t="s">
        <v>235</v>
      </c>
      <c r="R20" s="636">
        <v>1000</v>
      </c>
      <c r="S20" s="234" t="str">
        <f t="shared" si="12"/>
        <v>Alta</v>
      </c>
      <c r="T20" s="235">
        <f t="shared" si="13"/>
        <v>0.8</v>
      </c>
      <c r="U20" s="644" t="s">
        <v>151</v>
      </c>
      <c r="V20" s="235" t="str">
        <f>IF(NOT(ISERROR(MATCH(U20,'[2]Tabla Impacto'!$B$221:$B$223,0))),'[2]Tabla Impacto'!$F$223&amp;"Por favor no seleccionar los criterios de impacto(Afectación Económica o presupuestal y Pérdida Reputacional)",U20)</f>
        <v xml:space="preserve">     El riesgo afecta la imagen de la entidad con algunos usuarios de relevancia frente al logro de los objetivos</v>
      </c>
      <c r="W20" s="220" t="str">
        <f>IF(OR(V20='[3]Tabla Impacto'!$C$11,V20='[3]Tabla Impacto'!$D$11),"Leve",IF(OR(V20='[3]Tabla Impacto'!$C$12,V20='[3]Tabla Impacto'!$D$12),"Menor",IF(OR(V20='[3]Tabla Impacto'!$C$13,V20='[3]Tabla Impacto'!$D$13),"Moderado",IF(OR(V20='[3]Tabla Impacto'!$C$14,V20='[3]Tabla Impacto'!$D$14),"Mayor",IF(OR(V20='[3]Tabla Impacto'!$C$15,V20='[3]Tabla Impacto'!$D$15),"Catastrófico","")))))</f>
        <v>Moderado</v>
      </c>
      <c r="X20" s="200">
        <f t="shared" si="14"/>
        <v>0.6</v>
      </c>
      <c r="Y20" s="199" t="str">
        <f t="shared" si="15"/>
        <v>Alto</v>
      </c>
      <c r="Z20" s="648">
        <v>1</v>
      </c>
      <c r="AA20" s="649" t="s">
        <v>439</v>
      </c>
      <c r="AB20" s="650" t="s">
        <v>424</v>
      </c>
      <c r="AC20" s="202" t="str">
        <f t="shared" si="2"/>
        <v>Probabilidad</v>
      </c>
      <c r="AD20" s="203" t="s">
        <v>14</v>
      </c>
      <c r="AE20" s="203" t="s">
        <v>9</v>
      </c>
      <c r="AF20" s="200" t="str">
        <f t="shared" si="3"/>
        <v>40%</v>
      </c>
      <c r="AG20" s="203" t="s">
        <v>20</v>
      </c>
      <c r="AH20" s="203" t="s">
        <v>22</v>
      </c>
      <c r="AI20" s="203" t="s">
        <v>119</v>
      </c>
      <c r="AJ20" s="198" t="s">
        <v>425</v>
      </c>
      <c r="AK20" s="217">
        <f>IFERROR(IF(AC20="Probabilidad",(T20-(+T20*AF20)),IF(AC20="Impacto",T20,"")),"")</f>
        <v>0.48</v>
      </c>
      <c r="AL20" s="204" t="str">
        <f t="shared" si="4"/>
        <v>Media</v>
      </c>
      <c r="AM20" s="200">
        <f t="shared" si="5"/>
        <v>0.48</v>
      </c>
      <c r="AN20" s="204" t="str">
        <f t="shared" si="6"/>
        <v>Moderado</v>
      </c>
      <c r="AO20" s="200">
        <f t="shared" si="7"/>
        <v>0.6</v>
      </c>
      <c r="AP20" s="204" t="str">
        <f t="shared" si="8"/>
        <v>Moderado</v>
      </c>
      <c r="AQ20" s="203" t="s">
        <v>134</v>
      </c>
      <c r="AR20" s="203"/>
      <c r="AS20" s="218" t="s">
        <v>432</v>
      </c>
      <c r="AT20" s="218" t="s">
        <v>427</v>
      </c>
      <c r="AU20" s="205">
        <v>45687</v>
      </c>
      <c r="AV20" s="205"/>
      <c r="AW20" s="198"/>
      <c r="AX20" s="198"/>
      <c r="AY20" s="205"/>
      <c r="AZ20" s="198"/>
      <c r="BA20" s="198"/>
      <c r="BB20" s="198"/>
      <c r="BC20" s="205"/>
      <c r="BD20" s="198"/>
      <c r="BE20" s="198"/>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row>
    <row r="21" spans="4:83" s="196" customFormat="1" ht="60" hidden="1" customHeight="1" x14ac:dyDescent="0.25">
      <c r="D21" s="197">
        <v>6</v>
      </c>
      <c r="E21" s="213"/>
      <c r="F21" s="213"/>
      <c r="G21" s="213"/>
      <c r="H21" s="197"/>
      <c r="I21" s="197"/>
      <c r="J21" s="197"/>
      <c r="K21" s="218"/>
      <c r="L21" s="198"/>
      <c r="M21" s="222"/>
      <c r="N21" s="223"/>
      <c r="O21" s="214"/>
      <c r="P21" s="198"/>
      <c r="Q21" s="198"/>
      <c r="R21" s="224"/>
      <c r="S21" s="199" t="str">
        <f t="shared" ref="S18:S25" si="21">IF(R21&lt;=0,"",IF(R21&lt;=2,"Muy Baja",IF(R21&lt;=24,"Baja",IF(R21&lt;=500,"Media",IF(R21&lt;=5000,"Alta","Muy Alta")))))</f>
        <v/>
      </c>
      <c r="T21" s="200" t="str">
        <f t="shared" ref="T18:T25" si="22">IF(S21="","",IF(S21="Muy Baja",0.2,IF(S21="Baja",0.4,IF(S21="Media",0.6,IF(S21="Alta",0.8,IF(S21="Muy Alta",1,))))))</f>
        <v/>
      </c>
      <c r="U21" s="201"/>
      <c r="V21" s="235">
        <f>IF(NOT(ISERROR(MATCH(U21,'[2]Tabla Impacto'!$B$221:$B$223,0))),'[2]Tabla Impacto'!$F$223&amp;"Por favor no seleccionar los criterios de impacto(Afectación Económica o presupuestal y Pérdida Reputacional)",U21)</f>
        <v>0</v>
      </c>
      <c r="W21" s="220" t="str">
        <f>IF(OR(V21='[3]Tabla Impacto'!$C$11,V21='[3]Tabla Impacto'!$D$11),"Leve",IF(OR(V21='[3]Tabla Impacto'!$C$12,V21='[3]Tabla Impacto'!$D$12),"Menor",IF(OR(V21='[3]Tabla Impacto'!$C$13,V21='[3]Tabla Impacto'!$D$13),"Moderado",IF(OR(V21='[3]Tabla Impacto'!$C$14,V21='[3]Tabla Impacto'!$D$14),"Mayor",IF(OR(V21='[3]Tabla Impacto'!$C$15,V21='[3]Tabla Impacto'!$D$15),"Catastrófico","")))))</f>
        <v/>
      </c>
      <c r="X21" s="200" t="str">
        <f t="shared" si="14"/>
        <v/>
      </c>
      <c r="Y21" s="199" t="str">
        <f t="shared" si="15"/>
        <v/>
      </c>
      <c r="Z21" s="225"/>
      <c r="AA21" s="226"/>
      <c r="AB21" s="227"/>
      <c r="AC21" s="202" t="str">
        <f t="shared" si="2"/>
        <v/>
      </c>
      <c r="AD21" s="203"/>
      <c r="AE21" s="203"/>
      <c r="AF21" s="200" t="str">
        <f t="shared" si="3"/>
        <v/>
      </c>
      <c r="AG21" s="203"/>
      <c r="AH21" s="203"/>
      <c r="AI21" s="203"/>
      <c r="AJ21" s="198"/>
      <c r="AK21" s="216" t="str">
        <f>IFERROR(IF(AND(AD20="Probabilidad",AD21="Probabilidad"),(AM20-(+AM20*AG21)),IF(AD21="Probabilidad",(V20-(+V20*AG21)),IF(AD21="Impacto",AM20,""))),"")</f>
        <v/>
      </c>
      <c r="AL21" s="204" t="str">
        <f t="shared" si="4"/>
        <v/>
      </c>
      <c r="AM21" s="200" t="str">
        <f t="shared" si="5"/>
        <v/>
      </c>
      <c r="AN21" s="204" t="str">
        <f t="shared" si="6"/>
        <v/>
      </c>
      <c r="AO21" s="200" t="str">
        <f t="shared" si="7"/>
        <v/>
      </c>
      <c r="AP21" s="204" t="str">
        <f t="shared" si="8"/>
        <v/>
      </c>
      <c r="AQ21" s="203"/>
      <c r="AR21" s="203"/>
      <c r="AS21" s="198"/>
      <c r="AT21" s="198"/>
      <c r="AU21" s="205"/>
      <c r="AV21" s="205"/>
      <c r="AW21" s="198"/>
      <c r="AX21" s="198"/>
      <c r="AY21" s="205"/>
      <c r="AZ21" s="198"/>
      <c r="BA21" s="198"/>
      <c r="BB21" s="198"/>
      <c r="BC21" s="205"/>
      <c r="BD21" s="198"/>
      <c r="BE21" s="198"/>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row>
    <row r="22" spans="4:83" s="196" customFormat="1" ht="60" hidden="1" customHeight="1" x14ac:dyDescent="0.25">
      <c r="D22" s="339">
        <v>7</v>
      </c>
      <c r="E22" s="213"/>
      <c r="F22" s="213"/>
      <c r="G22" s="213"/>
      <c r="H22" s="197"/>
      <c r="I22" s="197"/>
      <c r="J22" s="197"/>
      <c r="K22" s="231"/>
      <c r="L22" s="198"/>
      <c r="M22" s="231"/>
      <c r="N22" s="232"/>
      <c r="O22" s="214"/>
      <c r="P22" s="198"/>
      <c r="Q22" s="198"/>
      <c r="R22" s="233"/>
      <c r="S22" s="199" t="str">
        <f t="shared" ref="S22:S23" si="23">IF(R22&lt;=0,"",IF(R22&lt;=2,"Muy Baja",IF(R22&lt;=24,"Baja",IF(R22&lt;=500,"Media",IF(R22&lt;=5000,"Alta","Muy Alta")))))</f>
        <v/>
      </c>
      <c r="T22" s="200" t="str">
        <f t="shared" ref="T22:T23" si="24">IF(S22="","",IF(S22="Muy Baja",0.2,IF(S22="Baja",0.4,IF(S22="Media",0.6,IF(S22="Alta",0.8,IF(S22="Muy Alta",1,))))))</f>
        <v/>
      </c>
      <c r="U22" s="201"/>
      <c r="V22" s="235">
        <f>IF(NOT(ISERROR(MATCH(U22,'[2]Tabla Impacto'!$B$221:$B$223,0))),'[2]Tabla Impacto'!$F$223&amp;"Por favor no seleccionar los criterios de impacto(Afectación Económica o presupuestal y Pérdida Reputacional)",U22)</f>
        <v>0</v>
      </c>
      <c r="W22" s="220" t="str">
        <f>IF(OR(V22='[3]Tabla Impacto'!$C$11,V22='[3]Tabla Impacto'!$D$11),"Leve",IF(OR(V22='[3]Tabla Impacto'!$C$12,V22='[3]Tabla Impacto'!$D$12),"Menor",IF(OR(V22='[3]Tabla Impacto'!$C$13,V22='[3]Tabla Impacto'!$D$13),"Moderado",IF(OR(V22='[3]Tabla Impacto'!$C$14,V22='[3]Tabla Impacto'!$D$14),"Mayor",IF(OR(V22='[3]Tabla Impacto'!$C$15,V22='[3]Tabla Impacto'!$D$15),"Catastrófico","")))))</f>
        <v/>
      </c>
      <c r="X22" s="200" t="str">
        <f t="shared" ref="X22:X23" si="25">IF(W22="","",IF(W22="Leve",0.2,IF(W22="Menor",0.4,IF(W22="Moderado",0.6,IF(W22="Mayor",0.8,IF(W22="Catastrófico",1,))))))</f>
        <v/>
      </c>
      <c r="Y22" s="199" t="str">
        <f t="shared" ref="Y22:Y23" si="26">IF(OR(AND(S22="Muy Baja",W22="Leve"),AND(S22="Muy Baja",W22="Menor"),AND(S22="Baja",W22="Leve")),"Bajo",IF(OR(AND(S22="Muy baja",W22="Moderado"),AND(S22="Baja",W22="Menor"),AND(S22="Baja",W22="Moderado"),AND(S22="Media",W22="Leve"),AND(S22="Media",W22="Menor"),AND(S22="Media",W22="Moderado"),AND(S22="Alta",W22="Leve"),AND(S22="Alta",W22="Menor")),"Moderado",IF(OR(AND(S22="Muy Baja",W22="Mayor"),AND(S22="Baja",W22="Mayor"),AND(S22="Media",W22="Mayor"),AND(S22="Alta",W22="Moderado"),AND(S22="Alta",W22="Mayor"),AND(S22="Muy Alta",W22="Leve"),AND(S22="Muy Alta",W22="Menor"),AND(S22="Muy Alta",W22="Moderado"),AND(S22="Muy Alta",W22="Mayor")),"Alto",IF(OR(AND(S22="Muy Baja",W22="Catastrófico"),AND(S22="Baja",W22="Catastrófico"),AND(S22="Media",W22="Catastrófico"),AND(S22="Alta",W22="Catastrófico"),AND(S22="Muy Alta",W22="Catastrófico")),"Extremo",""))))</f>
        <v/>
      </c>
      <c r="Z22" s="225"/>
      <c r="AA22" s="226"/>
      <c r="AB22" s="227"/>
      <c r="AC22" s="202" t="str">
        <f t="shared" ref="AC22:AC23" si="27">IF(OR(AD22="Preventivo",AD22="Detectivo"),"Probabilidad",IF(AD22="Correctivo","Impacto",""))</f>
        <v/>
      </c>
      <c r="AD22" s="203"/>
      <c r="AE22" s="203"/>
      <c r="AF22" s="200" t="str">
        <f t="shared" ref="AF22:AF23" si="28">IF(AND(AD22="Preventivo",AE22="Automático"),"50%",IF(AND(AD22="Preventivo",AE22="Manual"),"40%",IF(AND(AD22="Detectivo",AE22="Automático"),"40%",IF(AND(AD22="Detectivo",AE22="Manual"),"30%",IF(AND(AD22="Correctivo",AE22="Automático"),"35%",IF(AND(AD22="Correctivo",AE22="Manual"),"25%",""))))))</f>
        <v/>
      </c>
      <c r="AG22" s="203"/>
      <c r="AH22" s="203"/>
      <c r="AI22" s="203"/>
      <c r="AJ22" s="198"/>
      <c r="AK22" s="216" t="str">
        <f t="shared" ref="AK22:AK23" si="29">IFERROR(IF(AND(AD21="Probabilidad",AD22="Probabilidad"),(AM21-(+AM21*AG22)),IF(AD22="Probabilidad",(V21-(+V21*AG22)),IF(AD22="Impacto",AM21,""))),"")</f>
        <v/>
      </c>
      <c r="AL22" s="204" t="str">
        <f t="shared" ref="AL22:AL23" si="30">IFERROR(IF(AK22="","",IF(AK22&lt;=0.2,"Muy Baja",IF(AK22&lt;=0.4,"Baja",IF(AK22&lt;=0.6,"Media",IF(AK22&lt;=0.8,"Alta","Muy Alta"))))),"")</f>
        <v/>
      </c>
      <c r="AM22" s="200" t="str">
        <f t="shared" ref="AM22:AM23" si="31">+AK22</f>
        <v/>
      </c>
      <c r="AN22" s="204" t="str">
        <f t="shared" ref="AN22:AN23" si="32">IFERROR(IF(AO22="","",IF(AO22&lt;=0.2,"Leve",IF(AO22&lt;=0.4,"Menor",IF(AO22&lt;=0.6,"Moderado",IF(AO22&lt;=0.8,"Mayor","Catastrófico"))))),"")</f>
        <v/>
      </c>
      <c r="AO22" s="200" t="str">
        <f t="shared" ref="AO22:AO23" si="33">IFERROR(IF(AC22="Impacto",(X22-(+X22*AF22)),IF(AC22="Probabilidad",X22,"")),"")</f>
        <v/>
      </c>
      <c r="AP22" s="204" t="str">
        <f t="shared" ref="AP22:AP23" si="34">IFERROR(IF(OR(AND(AL22="Muy Baja",AN22="Leve"),AND(AL22="Muy Baja",AN22="Menor"),AND(AL22="Baja",AN22="Leve")),"Bajo",IF(OR(AND(AL22="Muy baja",AN22="Moderado"),AND(AL22="Baja",AN22="Menor"),AND(AL22="Baja",AN22="Moderado"),AND(AL22="Media",AN22="Leve"),AND(AL22="Media",AN22="Menor"),AND(AL22="Media",AN22="Moderado"),AND(AL22="Alta",AN22="Leve"),AND(AL22="Alta",AN22="Menor")),"Moderado",IF(OR(AND(AL22="Muy Baja",AN22="Mayor"),AND(AL22="Baja",AN22="Mayor"),AND(AL22="Media",AN22="Mayor"),AND(AL22="Alta",AN22="Moderado"),AND(AL22="Alta",AN22="Mayor"),AND(AL22="Muy Alta",AN22="Leve"),AND(AL22="Muy Alta",AN22="Menor"),AND(AL22="Muy Alta",AN22="Moderado"),AND(AL22="Muy Alta",AN22="Mayor")),"Alto",IF(OR(AND(AL22="Muy Baja",AN22="Catastrófico"),AND(AL22="Baja",AN22="Catastrófico"),AND(AL22="Media",AN22="Catastrófico"),AND(AL22="Alta",AN22="Catastrófico"),AND(AL22="Muy Alta",AN22="Catastrófico")),"Extremo","")))),"")</f>
        <v/>
      </c>
      <c r="AQ22" s="203"/>
      <c r="AR22" s="203"/>
      <c r="AS22" s="198"/>
      <c r="AT22" s="198"/>
      <c r="AU22" s="205"/>
      <c r="AV22" s="205"/>
      <c r="AW22" s="198"/>
      <c r="AX22" s="198"/>
      <c r="AY22" s="205"/>
      <c r="AZ22" s="198"/>
      <c r="BA22" s="198"/>
      <c r="BB22" s="198"/>
      <c r="BC22" s="205"/>
      <c r="BD22" s="198"/>
      <c r="BE22" s="198"/>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row>
    <row r="23" spans="4:83" s="196" customFormat="1" ht="60" hidden="1" customHeight="1" x14ac:dyDescent="0.25">
      <c r="D23" s="340"/>
      <c r="E23" s="213"/>
      <c r="F23" s="213"/>
      <c r="G23" s="213"/>
      <c r="H23" s="197"/>
      <c r="I23" s="197"/>
      <c r="J23" s="197"/>
      <c r="K23" s="231"/>
      <c r="L23" s="198"/>
      <c r="M23" s="231"/>
      <c r="N23" s="232"/>
      <c r="O23" s="214"/>
      <c r="P23" s="198"/>
      <c r="Q23" s="198"/>
      <c r="R23" s="233"/>
      <c r="S23" s="199" t="str">
        <f t="shared" si="23"/>
        <v/>
      </c>
      <c r="T23" s="200" t="str">
        <f t="shared" si="24"/>
        <v/>
      </c>
      <c r="U23" s="201"/>
      <c r="V23" s="200">
        <f>IF(NOT(ISERROR(MATCH(U23,'[2]Tabla Impacto'!$B$221:$B$223,0))),'[2]Tabla Impacto'!$F$223&amp;"Por favor no seleccionar los criterios de impacto(Afectación Económica o presupuestal y Pérdida Reputacional)",U23)</f>
        <v>0</v>
      </c>
      <c r="W23" s="220" t="str">
        <f>IF(OR(V23='[3]Tabla Impacto'!$C$11,V23='[3]Tabla Impacto'!$D$11),"Leve",IF(OR(V23='[3]Tabla Impacto'!$C$12,V23='[3]Tabla Impacto'!$D$12),"Menor",IF(OR(V23='[3]Tabla Impacto'!$C$13,V23='[3]Tabla Impacto'!$D$13),"Moderado",IF(OR(V23='[3]Tabla Impacto'!$C$14,V23='[3]Tabla Impacto'!$D$14),"Mayor",IF(OR(V23='[3]Tabla Impacto'!$C$15,V23='[3]Tabla Impacto'!$D$15),"Catastrófico","")))))</f>
        <v/>
      </c>
      <c r="X23" s="200" t="str">
        <f t="shared" si="25"/>
        <v/>
      </c>
      <c r="Y23" s="199" t="str">
        <f t="shared" si="26"/>
        <v/>
      </c>
      <c r="Z23" s="225"/>
      <c r="AA23" s="226"/>
      <c r="AB23" s="227"/>
      <c r="AC23" s="202" t="str">
        <f t="shared" si="27"/>
        <v/>
      </c>
      <c r="AD23" s="203"/>
      <c r="AE23" s="203"/>
      <c r="AF23" s="200" t="str">
        <f t="shared" si="28"/>
        <v/>
      </c>
      <c r="AG23" s="203"/>
      <c r="AH23" s="203"/>
      <c r="AI23" s="203"/>
      <c r="AJ23" s="198"/>
      <c r="AK23" s="216" t="str">
        <f t="shared" si="29"/>
        <v/>
      </c>
      <c r="AL23" s="204" t="str">
        <f t="shared" si="30"/>
        <v/>
      </c>
      <c r="AM23" s="200" t="str">
        <f t="shared" si="31"/>
        <v/>
      </c>
      <c r="AN23" s="204" t="str">
        <f t="shared" si="32"/>
        <v/>
      </c>
      <c r="AO23" s="200" t="str">
        <f t="shared" si="33"/>
        <v/>
      </c>
      <c r="AP23" s="204" t="str">
        <f t="shared" si="34"/>
        <v/>
      </c>
      <c r="AQ23" s="203"/>
      <c r="AR23" s="203"/>
      <c r="AS23" s="198"/>
      <c r="AT23" s="198"/>
      <c r="AU23" s="205"/>
      <c r="AV23" s="205"/>
      <c r="AW23" s="198"/>
      <c r="AX23" s="198"/>
      <c r="AY23" s="205"/>
      <c r="AZ23" s="198"/>
      <c r="BA23" s="198"/>
      <c r="BB23" s="198"/>
      <c r="BC23" s="205"/>
      <c r="BD23" s="198"/>
      <c r="BE23" s="198"/>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row>
    <row r="24" spans="4:83" s="196" customFormat="1" ht="60" hidden="1" customHeight="1" x14ac:dyDescent="0.25">
      <c r="D24" s="197">
        <v>8</v>
      </c>
      <c r="E24" s="213"/>
      <c r="F24" s="213"/>
      <c r="G24" s="213"/>
      <c r="H24" s="197"/>
      <c r="I24" s="197"/>
      <c r="J24" s="197"/>
      <c r="K24" s="222"/>
      <c r="L24" s="198"/>
      <c r="M24" s="222"/>
      <c r="N24" s="223"/>
      <c r="O24" s="214"/>
      <c r="P24" s="198"/>
      <c r="Q24" s="198"/>
      <c r="R24" s="224"/>
      <c r="S24" s="199" t="str">
        <f t="shared" si="21"/>
        <v/>
      </c>
      <c r="T24" s="200" t="str">
        <f t="shared" si="22"/>
        <v/>
      </c>
      <c r="U24" s="201"/>
      <c r="V24" s="200">
        <f>IF(NOT(ISERROR(MATCH(U24,'[2]Tabla Impacto'!$B$221:$B$223,0))),'[2]Tabla Impacto'!$F$223&amp;"Por favor no seleccionar los criterios de impacto(Afectación Económica o presupuestal y Pérdida Reputacional)",U24)</f>
        <v>0</v>
      </c>
      <c r="W24" s="220" t="str">
        <f>IF(OR(V24='[3]Tabla Impacto'!$C$11,V24='[3]Tabla Impacto'!$D$11),"Leve",IF(OR(V24='[3]Tabla Impacto'!$C$12,V24='[3]Tabla Impacto'!$D$12),"Menor",IF(OR(V24='[3]Tabla Impacto'!$C$13,V24='[3]Tabla Impacto'!$D$13),"Moderado",IF(OR(V24='[3]Tabla Impacto'!$C$14,V24='[3]Tabla Impacto'!$D$14),"Mayor",IF(OR(V24='[3]Tabla Impacto'!$C$15,V24='[3]Tabla Impacto'!$D$15),"Catastrófico","")))))</f>
        <v/>
      </c>
      <c r="X24" s="200" t="str">
        <f t="shared" si="14"/>
        <v/>
      </c>
      <c r="Y24" s="199" t="str">
        <f t="shared" si="15"/>
        <v/>
      </c>
      <c r="Z24" s="225"/>
      <c r="AA24" s="226"/>
      <c r="AB24" s="227"/>
      <c r="AC24" s="202" t="str">
        <f t="shared" si="2"/>
        <v/>
      </c>
      <c r="AD24" s="203"/>
      <c r="AE24" s="203"/>
      <c r="AF24" s="200" t="str">
        <f t="shared" si="3"/>
        <v/>
      </c>
      <c r="AG24" s="203"/>
      <c r="AH24" s="203"/>
      <c r="AI24" s="203"/>
      <c r="AJ24" s="198"/>
      <c r="AK24" s="215" t="str">
        <f t="shared" ref="AK24" si="35">IFERROR(IF(AD24="Probabilidad",(U24-(+U24*AG24)),IF(AD24="Impacto",U24,"")),"")</f>
        <v/>
      </c>
      <c r="AL24" s="204" t="str">
        <f t="shared" si="4"/>
        <v/>
      </c>
      <c r="AM24" s="200" t="str">
        <f t="shared" si="5"/>
        <v/>
      </c>
      <c r="AN24" s="204" t="str">
        <f t="shared" si="6"/>
        <v/>
      </c>
      <c r="AO24" s="200" t="str">
        <f t="shared" si="7"/>
        <v/>
      </c>
      <c r="AP24" s="204" t="str">
        <f t="shared" si="8"/>
        <v/>
      </c>
      <c r="AQ24" s="203"/>
      <c r="AR24" s="203"/>
      <c r="AS24" s="198"/>
      <c r="AT24" s="198"/>
      <c r="AU24" s="205"/>
      <c r="AV24" s="205"/>
      <c r="AW24" s="198"/>
      <c r="AX24" s="198"/>
      <c r="AY24" s="205"/>
      <c r="AZ24" s="198"/>
      <c r="BA24" s="198"/>
      <c r="BB24" s="198"/>
      <c r="BC24" s="205"/>
      <c r="BD24" s="198"/>
      <c r="BE24" s="198"/>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row>
    <row r="25" spans="4:83" s="196" customFormat="1" ht="60" hidden="1" customHeight="1" x14ac:dyDescent="0.25">
      <c r="D25" s="197">
        <v>9</v>
      </c>
      <c r="E25" s="213"/>
      <c r="F25" s="213"/>
      <c r="G25" s="213"/>
      <c r="H25" s="197"/>
      <c r="I25" s="197"/>
      <c r="J25" s="197"/>
      <c r="K25" s="222"/>
      <c r="L25" s="198"/>
      <c r="M25" s="222"/>
      <c r="N25" s="223"/>
      <c r="O25" s="214"/>
      <c r="P25" s="198"/>
      <c r="Q25" s="198"/>
      <c r="R25" s="224"/>
      <c r="S25" s="199" t="str">
        <f t="shared" si="21"/>
        <v/>
      </c>
      <c r="T25" s="200" t="str">
        <f t="shared" si="22"/>
        <v/>
      </c>
      <c r="U25" s="201"/>
      <c r="V25" s="200">
        <f>IF(NOT(ISERROR(MATCH(U25,'[2]Tabla Impacto'!$B$221:$B$223,0))),'[2]Tabla Impacto'!$F$223&amp;"Por favor no seleccionar los criterios de impacto(Afectación Económica o presupuestal y Pérdida Reputacional)",U25)</f>
        <v>0</v>
      </c>
      <c r="W25" s="220" t="str">
        <f>IF(OR(V25='[3]Tabla Impacto'!$C$11,V25='[3]Tabla Impacto'!$D$11),"Leve",IF(OR(V25='[3]Tabla Impacto'!$C$12,V25='[3]Tabla Impacto'!$D$12),"Menor",IF(OR(V25='[3]Tabla Impacto'!$C$13,V25='[3]Tabla Impacto'!$D$13),"Moderado",IF(OR(V25='[3]Tabla Impacto'!$C$14,V25='[3]Tabla Impacto'!$D$14),"Mayor",IF(OR(V25='[3]Tabla Impacto'!$C$15,V25='[3]Tabla Impacto'!$D$15),"Catastrófico","")))))</f>
        <v/>
      </c>
      <c r="X25" s="200" t="str">
        <f t="shared" si="14"/>
        <v/>
      </c>
      <c r="Y25" s="199" t="str">
        <f t="shared" si="15"/>
        <v/>
      </c>
      <c r="Z25" s="225"/>
      <c r="AA25" s="226"/>
      <c r="AB25" s="227"/>
      <c r="AC25" s="202" t="str">
        <f t="shared" si="2"/>
        <v/>
      </c>
      <c r="AD25" s="203"/>
      <c r="AE25" s="203"/>
      <c r="AF25" s="200" t="str">
        <f t="shared" si="3"/>
        <v/>
      </c>
      <c r="AG25" s="203"/>
      <c r="AH25" s="203"/>
      <c r="AI25" s="203"/>
      <c r="AJ25" s="198"/>
      <c r="AK25" s="216" t="str">
        <f>IFERROR(IF(AND(AD24="Probabilidad",AD25="Probabilidad"),(AM24-(+AM24*AG25)),IF(AD25="Probabilidad",(V24-(+V24*AG25)),IF(AD25="Impacto",AM24,""))),"")</f>
        <v/>
      </c>
      <c r="AL25" s="204" t="str">
        <f t="shared" si="4"/>
        <v/>
      </c>
      <c r="AM25" s="200" t="str">
        <f t="shared" si="5"/>
        <v/>
      </c>
      <c r="AN25" s="204" t="str">
        <f t="shared" si="6"/>
        <v/>
      </c>
      <c r="AO25" s="200" t="str">
        <f t="shared" si="7"/>
        <v/>
      </c>
      <c r="AP25" s="204" t="str">
        <f t="shared" si="8"/>
        <v/>
      </c>
      <c r="AQ25" s="203"/>
      <c r="AR25" s="203"/>
      <c r="AS25" s="198"/>
      <c r="AT25" s="198"/>
      <c r="AU25" s="205"/>
      <c r="AV25" s="205"/>
      <c r="AW25" s="198"/>
      <c r="AX25" s="198"/>
      <c r="AY25" s="205"/>
      <c r="AZ25" s="198"/>
      <c r="BA25" s="198"/>
      <c r="BB25" s="198"/>
      <c r="BC25" s="205"/>
      <c r="BD25" s="198"/>
      <c r="BE25" s="198"/>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row>
    <row r="26" spans="4:83" ht="49.5" customHeight="1" x14ac:dyDescent="0.2">
      <c r="D26" s="207"/>
      <c r="E26" s="208"/>
      <c r="F26" s="208"/>
      <c r="G26" s="208"/>
      <c r="H26" s="208"/>
      <c r="I26" s="237"/>
      <c r="J26" s="237"/>
      <c r="K26" s="353" t="s">
        <v>393</v>
      </c>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4"/>
    </row>
    <row r="28" spans="4:83" ht="15.75" x14ac:dyDescent="0.2">
      <c r="D28" s="109"/>
      <c r="E28" s="110"/>
      <c r="F28" s="110"/>
      <c r="G28" s="110"/>
      <c r="H28" s="110"/>
      <c r="I28" s="110"/>
      <c r="J28" s="110"/>
      <c r="K28" s="110"/>
      <c r="L28" s="110"/>
      <c r="M28" s="110"/>
      <c r="N28" s="110"/>
      <c r="O28" s="179"/>
      <c r="P28" s="179"/>
      <c r="Q28" s="179"/>
      <c r="S28" s="111"/>
      <c r="T28" s="110"/>
      <c r="U28" s="110"/>
      <c r="V28" s="110"/>
      <c r="W28" s="110"/>
      <c r="X28" s="110"/>
      <c r="Y28" s="110"/>
      <c r="Z28" s="110"/>
      <c r="AA28" s="110"/>
      <c r="AB28" s="110"/>
      <c r="AC28" s="112"/>
      <c r="AD28" s="112"/>
      <c r="AE28" s="110"/>
      <c r="AF28" s="110"/>
      <c r="AG28" s="110"/>
      <c r="AH28" s="110"/>
      <c r="AI28" s="110"/>
      <c r="AJ28" s="110"/>
      <c r="AK28" s="110"/>
      <c r="AL28" s="110"/>
      <c r="AM28" s="110"/>
      <c r="AN28" s="110"/>
      <c r="AO28" s="110"/>
      <c r="AP28" s="110"/>
      <c r="AQ28" s="113"/>
      <c r="AR28" s="113"/>
      <c r="AS28" s="113"/>
      <c r="AT28" s="110"/>
      <c r="AU28" s="110"/>
      <c r="AV28" s="110"/>
      <c r="AW28" s="110"/>
      <c r="AX28" s="110"/>
      <c r="AY28" s="110"/>
      <c r="AZ28" s="110"/>
    </row>
    <row r="29" spans="4:83" ht="18" x14ac:dyDescent="0.2">
      <c r="D29" s="352" t="s">
        <v>440</v>
      </c>
      <c r="E29" s="352"/>
      <c r="F29" s="352"/>
      <c r="G29" s="352"/>
      <c r="H29" s="352"/>
      <c r="I29" s="352"/>
      <c r="J29" s="352"/>
      <c r="K29" s="352"/>
      <c r="L29" s="352"/>
      <c r="M29" s="352"/>
      <c r="N29" s="352"/>
      <c r="O29" s="179"/>
      <c r="P29" s="179"/>
      <c r="Q29" s="179"/>
      <c r="R29" s="348" t="s">
        <v>391</v>
      </c>
      <c r="S29" s="349"/>
      <c r="T29" s="349"/>
      <c r="U29" s="350"/>
      <c r="V29" s="110"/>
      <c r="W29" s="110"/>
      <c r="X29" s="110"/>
      <c r="Y29" s="110"/>
      <c r="Z29" s="110"/>
      <c r="AA29" s="110"/>
      <c r="AB29" s="113"/>
      <c r="AC29" s="112"/>
      <c r="AD29" s="112"/>
      <c r="AE29" s="110"/>
      <c r="AF29" s="112"/>
      <c r="AG29" s="112"/>
      <c r="AH29" s="110"/>
      <c r="AI29" s="110"/>
      <c r="AJ29" s="110"/>
      <c r="AK29" s="110"/>
      <c r="AL29" s="110"/>
      <c r="AM29" s="110"/>
      <c r="AN29" s="110"/>
      <c r="AO29" s="110"/>
      <c r="AP29" s="110"/>
      <c r="AQ29" s="110"/>
      <c r="AR29" s="110"/>
      <c r="AS29" s="110"/>
      <c r="AT29" s="110"/>
      <c r="AU29" s="110"/>
      <c r="AV29" s="110"/>
      <c r="AW29" s="110"/>
      <c r="AX29" s="110"/>
      <c r="AY29" s="110"/>
      <c r="AZ29" s="110"/>
    </row>
    <row r="30" spans="4:83" ht="15" thickBot="1" x14ac:dyDescent="0.25">
      <c r="D30" s="179"/>
      <c r="E30" s="179"/>
      <c r="F30" s="179"/>
      <c r="G30" s="179"/>
      <c r="H30" s="179"/>
      <c r="I30" s="179"/>
      <c r="J30" s="179"/>
      <c r="K30" s="179"/>
      <c r="L30" s="179"/>
      <c r="M30" s="179"/>
      <c r="O30" s="179"/>
      <c r="P30" s="179"/>
      <c r="Q30" s="179"/>
      <c r="S30" s="181" t="str">
        <f>+IFERROR(VLOOKUP(O30,$O$185:$S$189,3,FALSE)*VLOOKUP(R30,$R$185:$S$189,3,FALSE),"")</f>
        <v/>
      </c>
      <c r="AC30" s="181"/>
      <c r="AD30" s="209"/>
      <c r="AF30" s="209"/>
      <c r="AG30" s="209"/>
      <c r="AH30" s="210"/>
      <c r="AI30" s="210"/>
      <c r="AJ30" s="210"/>
      <c r="AK30" s="210"/>
      <c r="AL30" s="210"/>
      <c r="AM30" s="114"/>
      <c r="AN30" s="114"/>
      <c r="AO30" s="210"/>
      <c r="AP30" s="211"/>
      <c r="AU30" s="210"/>
      <c r="AW30" s="210"/>
      <c r="AY30" s="210"/>
    </row>
    <row r="31" spans="4:83" ht="17.45" customHeight="1" thickTop="1" thickBot="1" x14ac:dyDescent="0.25">
      <c r="D31" s="347" t="s">
        <v>207</v>
      </c>
      <c r="E31" s="347"/>
      <c r="F31" s="347"/>
      <c r="G31" s="347"/>
      <c r="H31" s="347"/>
      <c r="I31" s="347"/>
      <c r="J31" s="347"/>
      <c r="K31" s="347"/>
      <c r="L31" s="347"/>
      <c r="M31" s="347"/>
      <c r="N31" s="178" t="s">
        <v>208</v>
      </c>
      <c r="O31" s="347" t="s">
        <v>209</v>
      </c>
      <c r="P31" s="347"/>
      <c r="Q31" s="347"/>
      <c r="R31" s="347"/>
      <c r="S31" s="347"/>
      <c r="T31" s="347"/>
      <c r="U31" s="347"/>
      <c r="V31" s="118"/>
      <c r="W31" s="351" t="s">
        <v>210</v>
      </c>
      <c r="X31" s="351"/>
      <c r="Y31" s="351"/>
      <c r="Z31" s="347" t="s">
        <v>211</v>
      </c>
      <c r="AA31" s="347"/>
      <c r="AB31" s="347"/>
      <c r="AC31" s="347"/>
      <c r="AD31" s="351">
        <v>1</v>
      </c>
      <c r="AE31" s="351"/>
      <c r="AF31" s="351"/>
      <c r="AG31" s="351"/>
      <c r="AH31" s="117"/>
      <c r="AI31" s="117"/>
      <c r="AJ31" s="117"/>
      <c r="AK31" s="117"/>
      <c r="AL31" s="117"/>
      <c r="AM31" s="117"/>
      <c r="AN31" s="117"/>
      <c r="AO31" s="117"/>
      <c r="AP31" s="117"/>
      <c r="AQ31" s="117"/>
      <c r="AR31" s="117"/>
      <c r="AS31" s="117"/>
      <c r="AT31" s="117"/>
      <c r="AU31" s="117"/>
      <c r="AV31" s="117"/>
      <c r="AW31" s="117"/>
      <c r="AX31" s="117"/>
      <c r="AY31" s="117"/>
      <c r="AZ31" s="115"/>
    </row>
    <row r="32" spans="4:83" ht="36.75" customHeight="1" thickTop="1" x14ac:dyDescent="0.25">
      <c r="D32" s="343" t="s">
        <v>394</v>
      </c>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row>
  </sheetData>
  <dataConsolidate/>
  <mergeCells count="116">
    <mergeCell ref="AT15:AT17"/>
    <mergeCell ref="V15:V17"/>
    <mergeCell ref="W15:W17"/>
    <mergeCell ref="Y15:Y17"/>
    <mergeCell ref="X15:X17"/>
    <mergeCell ref="W18:W19"/>
    <mergeCell ref="X18:X19"/>
    <mergeCell ref="Y18:Y19"/>
    <mergeCell ref="V18:V19"/>
    <mergeCell ref="S15:S17"/>
    <mergeCell ref="T15:T17"/>
    <mergeCell ref="S18:S19"/>
    <mergeCell ref="T18:T19"/>
    <mergeCell ref="U15:U17"/>
    <mergeCell ref="U18:U19"/>
    <mergeCell ref="P15:P17"/>
    <mergeCell ref="P18:P19"/>
    <mergeCell ref="Q15:Q17"/>
    <mergeCell ref="Q18:Q19"/>
    <mergeCell ref="R15:R17"/>
    <mergeCell ref="R18:R19"/>
    <mergeCell ref="M15:M17"/>
    <mergeCell ref="M18:M19"/>
    <mergeCell ref="N15:N17"/>
    <mergeCell ref="N18:N19"/>
    <mergeCell ref="O15:O17"/>
    <mergeCell ref="O18:O19"/>
    <mergeCell ref="K15:K17"/>
    <mergeCell ref="D15:D17"/>
    <mergeCell ref="E15:E17"/>
    <mergeCell ref="E18:E19"/>
    <mergeCell ref="F15:F17"/>
    <mergeCell ref="G15:G17"/>
    <mergeCell ref="H15:H17"/>
    <mergeCell ref="F18:F19"/>
    <mergeCell ref="G18:G19"/>
    <mergeCell ref="H18:H19"/>
    <mergeCell ref="K18:K19"/>
    <mergeCell ref="D18:D19"/>
    <mergeCell ref="D22:D23"/>
    <mergeCell ref="I13:J13"/>
    <mergeCell ref="D32:AG32"/>
    <mergeCell ref="P13:Q13"/>
    <mergeCell ref="D31:M31"/>
    <mergeCell ref="R29:U29"/>
    <mergeCell ref="O31:U31"/>
    <mergeCell ref="W31:Y31"/>
    <mergeCell ref="D29:N29"/>
    <mergeCell ref="Z31:AC31"/>
    <mergeCell ref="AD31:AG31"/>
    <mergeCell ref="Z13:Z14"/>
    <mergeCell ref="AA13:AA14"/>
    <mergeCell ref="K26:AX26"/>
    <mergeCell ref="L13:L14"/>
    <mergeCell ref="A11:C11"/>
    <mergeCell ref="D8:G8"/>
    <mergeCell ref="D9:G9"/>
    <mergeCell ref="H9:BE9"/>
    <mergeCell ref="H8:BE8"/>
    <mergeCell ref="D11:AX11"/>
    <mergeCell ref="AY11:BB11"/>
    <mergeCell ref="BC11:BE11"/>
    <mergeCell ref="AK12:AQ12"/>
    <mergeCell ref="AD13:AI13"/>
    <mergeCell ref="BD2:BE2"/>
    <mergeCell ref="BD3:BE3"/>
    <mergeCell ref="BD4:BE4"/>
    <mergeCell ref="BD5:BE5"/>
    <mergeCell ref="BB13:BB14"/>
    <mergeCell ref="BD13:BD14"/>
    <mergeCell ref="BE13:BE14"/>
    <mergeCell ref="AY13:AY14"/>
    <mergeCell ref="AZ13:AZ14"/>
    <mergeCell ref="AS13:AS14"/>
    <mergeCell ref="BA13:BA14"/>
    <mergeCell ref="AJ12:AJ14"/>
    <mergeCell ref="BC13:BC14"/>
    <mergeCell ref="Z12:AI12"/>
    <mergeCell ref="AN13:AN14"/>
    <mergeCell ref="AL13:AL14"/>
    <mergeCell ref="AM13:AM14"/>
    <mergeCell ref="R13:R14"/>
    <mergeCell ref="S13:S14"/>
    <mergeCell ref="T13:T14"/>
    <mergeCell ref="W13:W14"/>
    <mergeCell ref="AC13:AC14"/>
    <mergeCell ref="X13:X14"/>
    <mergeCell ref="AX13:AX14"/>
    <mergeCell ref="AW13:AW14"/>
    <mergeCell ref="AV13:AV14"/>
    <mergeCell ref="AU13:AU14"/>
    <mergeCell ref="AT13:AT14"/>
    <mergeCell ref="K13:K14"/>
    <mergeCell ref="U13:U14"/>
    <mergeCell ref="V13:V14"/>
    <mergeCell ref="D7:G7"/>
    <mergeCell ref="Y13:Y14"/>
    <mergeCell ref="D13:D14"/>
    <mergeCell ref="E13:E14"/>
    <mergeCell ref="H13:H14"/>
    <mergeCell ref="G13:G14"/>
    <mergeCell ref="F13:F14"/>
    <mergeCell ref="AR12:BE12"/>
    <mergeCell ref="D2:H5"/>
    <mergeCell ref="K2:BC5"/>
    <mergeCell ref="H7:BE7"/>
    <mergeCell ref="AQ13:AQ14"/>
    <mergeCell ref="AP13:AP14"/>
    <mergeCell ref="AO13:AO14"/>
    <mergeCell ref="AK13:AK14"/>
    <mergeCell ref="AB13:AB14"/>
    <mergeCell ref="O13:O14"/>
    <mergeCell ref="D12:R12"/>
    <mergeCell ref="S12:Y12"/>
    <mergeCell ref="N13:N14"/>
    <mergeCell ref="M13:M14"/>
  </mergeCells>
  <conditionalFormatting sqref="S15 S18 S20:S25 AL15:AL25">
    <cfRule type="cellIs" dxfId="25" priority="62" operator="equal">
      <formula>"Muy Alta"</formula>
    </cfRule>
    <cfRule type="cellIs" dxfId="24" priority="63" operator="equal">
      <formula>"Alta"</formula>
    </cfRule>
    <cfRule type="cellIs" dxfId="23" priority="64" operator="equal">
      <formula>"Media"</formula>
    </cfRule>
    <cfRule type="cellIs" dxfId="22" priority="65" operator="equal">
      <formula>"Baja"</formula>
    </cfRule>
    <cfRule type="cellIs" dxfId="21" priority="66" operator="equal">
      <formula>"Muy Baja"</formula>
    </cfRule>
  </conditionalFormatting>
  <conditionalFormatting sqref="V15 V18 V20:V25">
    <cfRule type="containsText" dxfId="20" priority="38" operator="containsText" text="❌">
      <formula>NOT(ISERROR(SEARCH("❌",V15)))</formula>
    </cfRule>
  </conditionalFormatting>
  <conditionalFormatting sqref="W15 W18 W20:W25">
    <cfRule type="cellIs" dxfId="19" priority="1" operator="equal">
      <formula>"Catastrófico"</formula>
    </cfRule>
    <cfRule type="cellIs" dxfId="18" priority="2" operator="equal">
      <formula>"Mayor"</formula>
    </cfRule>
    <cfRule type="cellIs" dxfId="17" priority="3" operator="equal">
      <formula>"Moderado"</formula>
    </cfRule>
    <cfRule type="cellIs" dxfId="16" priority="4" operator="equal">
      <formula>"Menor"</formula>
    </cfRule>
    <cfRule type="cellIs" dxfId="15" priority="5" operator="equal">
      <formula>"Leve"</formula>
    </cfRule>
  </conditionalFormatting>
  <conditionalFormatting sqref="Y15 Y18 Y20:Y25 AP15:AP25">
    <cfRule type="cellIs" dxfId="14" priority="53" operator="equal">
      <formula>"Extremo"</formula>
    </cfRule>
    <cfRule type="cellIs" dxfId="13" priority="54" operator="equal">
      <formula>"Alto"</formula>
    </cfRule>
    <cfRule type="cellIs" dxfId="12" priority="55" operator="equal">
      <formula>"Moderado"</formula>
    </cfRule>
    <cfRule type="cellIs" dxfId="11" priority="56" operator="equal">
      <formula>"Bajo"</formula>
    </cfRule>
  </conditionalFormatting>
  <conditionalFormatting sqref="AM28:AM30">
    <cfRule type="cellIs" dxfId="10" priority="26" stopIfTrue="1" operator="equal">
      <formula>#REF!</formula>
    </cfRule>
    <cfRule type="cellIs" dxfId="9" priority="27" operator="equal">
      <formula>#REF!</formula>
    </cfRule>
    <cfRule type="cellIs" dxfId="8" priority="28" operator="equal">
      <formula>#REF!</formula>
    </cfRule>
  </conditionalFormatting>
  <conditionalFormatting sqref="AN15:AN25">
    <cfRule type="cellIs" dxfId="7" priority="43" operator="equal">
      <formula>"Catastrófico"</formula>
    </cfRule>
    <cfRule type="cellIs" dxfId="6" priority="44" operator="equal">
      <formula>"Mayor"</formula>
    </cfRule>
    <cfRule type="cellIs" dxfId="5" priority="45" operator="equal">
      <formula>"Moderado"</formula>
    </cfRule>
    <cfRule type="cellIs" dxfId="4" priority="46" operator="equal">
      <formula>"Menor"</formula>
    </cfRule>
    <cfRule type="cellIs" dxfId="3" priority="47" operator="equal">
      <formula>"Leve"</formula>
    </cfRule>
  </conditionalFormatting>
  <conditionalFormatting sqref="AN28:AN30">
    <cfRule type="cellIs" dxfId="2" priority="29" stopIfTrue="1" operator="equal">
      <formula>#REF!</formula>
    </cfRule>
    <cfRule type="cellIs" dxfId="1" priority="30" stopIfTrue="1" operator="equal">
      <formula>#REF!</formula>
    </cfRule>
    <cfRule type="cellIs" dxfId="0" priority="31" stopIfTrue="1" operator="equal">
      <formula>#REF!</formula>
    </cfRule>
  </conditionalFormatting>
  <dataValidations count="6">
    <dataValidation type="list" allowBlank="1" showInputMessage="1" showErrorMessage="1" sqref="N28" xr:uid="{61DF7E04-DE5E-4FE1-A38F-8A138AA87D58}">
      <formula1>$N$185:$N$194</formula1>
    </dataValidation>
    <dataValidation type="list" allowBlank="1" showInputMessage="1" showErrorMessage="1" sqref="N30 AM30:AN30" xr:uid="{66A41BD7-B090-4403-937D-0435537D31DA}">
      <formula1>#REF!</formula1>
    </dataValidation>
    <dataValidation type="list" allowBlank="1" showInputMessage="1" showErrorMessage="1" sqref="AC30" xr:uid="{3BD557FD-BAB0-4660-A45C-D7AACD9880D7}">
      <formula1>$U$185:$U$186</formula1>
    </dataValidation>
    <dataValidation type="list" allowBlank="1" showInputMessage="1" showErrorMessage="1" sqref="R30" xr:uid="{6EC8CB42-9310-43CD-8FAB-388F6EFE7B5E}">
      <formula1>$R$185:$R$189</formula1>
    </dataValidation>
    <dataValidation type="list" allowBlank="1" showInputMessage="1" showErrorMessage="1" sqref="O30:Q30" xr:uid="{681E5490-2B09-494D-9B90-359A2E8F22F3}">
      <formula1>$O$185:$O$189</formula1>
    </dataValidation>
    <dataValidation type="list" allowBlank="1" showInputMessage="1" showErrorMessage="1" sqref="AY30 AW30 AU30 AD30 AF30:AL30" xr:uid="{208EF431-1729-4D5C-B151-F6757CBBD462}">
      <formula1>$AU$185:$AU$192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5E056D49-2A01-4844-9657-EAFD8E3B5A80}">
          <x14:formula1>
            <xm:f>'Opciones Tratamiento'!$B$13:$B$19</xm:f>
          </x14:formula1>
          <xm:sqref>O15 O18 O20:O25</xm:sqref>
        </x14:dataValidation>
        <x14:dataValidation type="list" allowBlank="1" showInputMessage="1" showErrorMessage="1" xr:uid="{EF0C0067-1765-4F11-A967-1A801D325D81}">
          <x14:formula1>
            <xm:f>'Tabla Impacto'!$F$210:$F$221</xm:f>
          </x14:formula1>
          <xm:sqref>U21:U25</xm:sqref>
        </x14:dataValidation>
        <x14:dataValidation type="custom" allowBlank="1" showInputMessage="1" showErrorMessage="1" error="Recuerde que las acciones se generan bajo la medida de mitigar el riesgo" xr:uid="{7ED48018-4235-4B97-8418-73E7BBDB0232}">
          <x14:formula1>
            <xm:f>IF(OR(AQ21='Opciones Tratamiento'!$B$2,AQ21='Opciones Tratamiento'!$B$3,AQ21='Opciones Tratamiento'!$B$4),ISBLANK(AQ21),ISTEXT(AQ21))</xm:f>
          </x14:formula1>
          <xm:sqref>AS21:AS25</xm:sqref>
        </x14:dataValidation>
        <x14:dataValidation type="custom" allowBlank="1" showInputMessage="1" showErrorMessage="1" error="Recuerde que las acciones se generan bajo la medida de mitigar el riesgo" xr:uid="{B9F9F086-C384-4D55-BBDC-46D063DF530B}">
          <x14:formula1>
            <xm:f>IF(OR(AQ21='Opciones Tratamiento'!$B$2,AQ21='Opciones Tratamiento'!$B$3,AQ21='Opciones Tratamiento'!$B$4),ISBLANK(AQ21),ISTEXT(AQ21))</xm:f>
          </x14:formula1>
          <xm:sqref>AT21:AT25</xm:sqref>
        </x14:dataValidation>
        <x14:dataValidation type="custom" allowBlank="1" showInputMessage="1" showErrorMessage="1" error="Recuerde que las acciones se generan bajo la medida de mitigar el riesgo" xr:uid="{E3EDE35C-AB25-4047-9423-56EED39EADE9}">
          <x14:formula1>
            <xm:f>IF(OR(AQ15='Opciones Tratamiento'!$B$2,AQ15='Opciones Tratamiento'!$B$3,AQ15='Opciones Tratamiento'!$B$4),ISBLANK(AQ15),ISTEXT(AQ15))</xm:f>
          </x14:formula1>
          <xm:sqref>AY15:AY25 AU15:AU25</xm:sqref>
        </x14:dataValidation>
        <x14:dataValidation type="list" allowBlank="1" showInputMessage="1" showErrorMessage="1" xr:uid="{9E41A0A5-9033-48F4-A523-E78EEE31291B}">
          <x14:formula1>
            <xm:f>Listas!$B$2:$B$7</xm:f>
          </x14:formula1>
          <xm:sqref>H15:J15 I18:I20 J18:J25 H21:I25</xm:sqref>
        </x14:dataValidation>
        <x14:dataValidation type="list" allowBlank="1" showInputMessage="1" showErrorMessage="1" xr:uid="{E1211B7A-6A4E-4A48-9C6D-50DFE53A34CF}">
          <x14:formula1>
            <xm:f>Listas!$C$2:$C$6</xm:f>
          </x14:formula1>
          <xm:sqref>P18 P20:P25</xm:sqref>
        </x14:dataValidation>
        <x14:dataValidation type="list" allowBlank="1" showInputMessage="1" showErrorMessage="1" xr:uid="{B88BA28A-2600-4BF8-8D1C-1591DFA3694A}">
          <x14:formula1>
            <xm:f>Listas!$D$2:$D$5</xm:f>
          </x14:formula1>
          <xm:sqref>Q20:Q25 Q18</xm:sqref>
        </x14:dataValidation>
        <x14:dataValidation type="list" allowBlank="1" showInputMessage="1" showErrorMessage="1" xr:uid="{C1C18457-6497-4468-A0EC-5756D2A505AB}">
          <x14:formula1>
            <xm:f>Hoja2!$B$3:$B$18</xm:f>
          </x14:formula1>
          <xm:sqref>E20:E25 E15 E18:F18 F20</xm:sqref>
        </x14:dataValidation>
        <x14:dataValidation type="list" allowBlank="1" showInputMessage="1" showErrorMessage="1" xr:uid="{30B1B799-4F7E-4DF0-8163-3420DCED9D9B}">
          <x14:formula1>
            <xm:f>Hoja2!$D$3:$D$21</xm:f>
          </x14:formula1>
          <xm:sqref>F15 F21:F25 G18 G20</xm:sqref>
        </x14:dataValidation>
        <x14:dataValidation type="list" allowBlank="1" showInputMessage="1" showErrorMessage="1" xr:uid="{4543C4BE-F1CB-4CCC-8B32-CEE48E0F43C3}">
          <x14:formula1>
            <xm:f>Hoja2!$E$3:$E$23</xm:f>
          </x14:formula1>
          <xm:sqref>G15 G21:G25 H18 H20</xm:sqref>
        </x14:dataValidation>
        <x14:dataValidation type="list" allowBlank="1" showInputMessage="1" showErrorMessage="1" xr:uid="{FFA9F3EB-8AAC-4371-8BA9-EA5BFF31F870}">
          <x14:formula1>
            <xm:f>'Opciones Tratamiento'!$B$9:$B$10</xm:f>
          </x14:formula1>
          <xm:sqref>BA15:BB25 BE15:BE25 AX15:AX25</xm:sqref>
        </x14:dataValidation>
        <x14:dataValidation type="list" allowBlank="1" showInputMessage="1" showErrorMessage="1" xr:uid="{2F8B922F-A596-4F43-8DB5-EB88E0211184}">
          <x14:formula1>
            <xm:f>'Tabla Valoración controles'!$D$4:$D$6</xm:f>
          </x14:formula1>
          <xm:sqref>AD15:AD25</xm:sqref>
        </x14:dataValidation>
        <x14:dataValidation type="list" allowBlank="1" showInputMessage="1" showErrorMessage="1" xr:uid="{DC38EDB2-F7BD-4E7B-9DDA-3C58EAD78CC5}">
          <x14:formula1>
            <xm:f>'Tabla Valoración controles'!$D$7:$D$8</xm:f>
          </x14:formula1>
          <xm:sqref>AE15:AE25</xm:sqref>
        </x14:dataValidation>
        <x14:dataValidation type="list" allowBlank="1" showInputMessage="1" showErrorMessage="1" xr:uid="{D75AC793-23AB-4ECB-AA93-972ACC7C18B9}">
          <x14:formula1>
            <xm:f>'Tabla Valoración controles'!$D$9:$D$10</xm:f>
          </x14:formula1>
          <xm:sqref>AG15:AG25</xm:sqref>
        </x14:dataValidation>
        <x14:dataValidation type="list" allowBlank="1" showInputMessage="1" showErrorMessage="1" xr:uid="{7CEE6D34-E894-4B07-9738-58E7887FE090}">
          <x14:formula1>
            <xm:f>'Tabla Valoración controles'!$D$11:$D$12</xm:f>
          </x14:formula1>
          <xm:sqref>AH15:AH25</xm:sqref>
        </x14:dataValidation>
        <x14:dataValidation type="list" allowBlank="1" showInputMessage="1" showErrorMessage="1" xr:uid="{B39FB738-8E70-4C89-BE00-31B6F6BC10CA}">
          <x14:formula1>
            <xm:f>'Tabla Valoración controles'!$D$13:$D$14</xm:f>
          </x14:formula1>
          <xm:sqref>AI15:AI25</xm:sqref>
        </x14:dataValidation>
        <x14:dataValidation type="list" allowBlank="1" showInputMessage="1" showErrorMessage="1" xr:uid="{BCC5CE02-71F3-4D30-B2B6-0BC8D084AB56}">
          <x14:formula1>
            <xm:f>'Opciones Tratamiento'!$B$2:$B$5</xm:f>
          </x14:formula1>
          <xm:sqref>AQ15:AQ25</xm:sqref>
        </x14:dataValidation>
        <x14:dataValidation type="custom" allowBlank="1" showInputMessage="1" showErrorMessage="1" error="Recuerde que las acciones se generan bajo la medida de mitigar el riesgo" xr:uid="{5067E0A1-85BC-4774-9D87-F4D5111F4D71}">
          <x14:formula1>
            <xm:f>IF(OR(AQ15='Opciones Tratamiento'!$B$2,AQ15='Opciones Tratamiento'!$B$3,AQ15='Opciones Tratamiento'!$B$4),ISBLANK(AQ15),ISTEXT(AQ15))</xm:f>
          </x14:formula1>
          <xm:sqref>AZ15:AZ25 BC15:BC25 AV15:AV25</xm:sqref>
        </x14:dataValidation>
        <x14:dataValidation type="custom" allowBlank="1" showInputMessage="1" showErrorMessage="1" error="Recuerde que las acciones se generan bajo la medida de mitigar el riesgo" xr:uid="{B9883EC3-2B93-49BB-8FD9-A1B582EB3BDF}">
          <x14:formula1>
            <xm:f>IF(OR(AQ15='Opciones Tratamiento'!$B$2,AQ15='Opciones Tratamiento'!$B$3,AQ15='Opciones Tratamiento'!$B$4),ISBLANK(AQ15),ISTEXT(AQ15))</xm:f>
          </x14:formula1>
          <xm:sqref>BD15:BD25 AW15:AW25</xm:sqref>
        </x14:dataValidation>
        <x14:dataValidation type="list" allowBlank="1" showInputMessage="1" showErrorMessage="1" xr:uid="{910695D6-E68C-4416-AE2F-7A2A65D2B33E}">
          <x14:formula1>
            <xm:f>Hoja2!$I$3:$I$20</xm:f>
          </x14:formula1>
          <xm:sqref>P15:P17</xm:sqref>
        </x14:dataValidation>
        <x14:dataValidation type="list" allowBlank="1" showInputMessage="1" showErrorMessage="1" xr:uid="{B32B5090-ACE6-4B84-ADE0-48AE5F7B5C63}">
          <x14:formula1>
            <xm:f>Hoja2!$J$3:$J$12</xm:f>
          </x14:formula1>
          <xm:sqref>Q15:Q17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7"/>
  <sheetViews>
    <sheetView workbookViewId="0">
      <selection activeCell="I17" sqref="I17"/>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55" t="s">
        <v>137</v>
      </c>
      <c r="C1" s="355"/>
      <c r="D1" s="355"/>
      <c r="E1" s="355"/>
      <c r="F1" s="355"/>
      <c r="G1" s="355"/>
      <c r="H1" s="355"/>
      <c r="I1" s="355"/>
      <c r="J1" s="355"/>
      <c r="L1" s="355" t="s">
        <v>139</v>
      </c>
      <c r="M1" s="355"/>
      <c r="N1" s="355"/>
      <c r="O1" s="355"/>
      <c r="P1" s="355"/>
      <c r="Q1" s="355"/>
      <c r="R1" s="355"/>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c r="I13" t="s">
        <v>400</v>
      </c>
    </row>
    <row r="14" spans="2:18" x14ac:dyDescent="0.25">
      <c r="I14" t="s">
        <v>401</v>
      </c>
    </row>
    <row r="15" spans="2:18" x14ac:dyDescent="0.25">
      <c r="I15" t="s">
        <v>402</v>
      </c>
    </row>
    <row r="17" spans="9:10" x14ac:dyDescent="0.25">
      <c r="I17" t="s">
        <v>413</v>
      </c>
      <c r="J17" t="s">
        <v>413</v>
      </c>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56" t="s">
        <v>318</v>
      </c>
      <c r="D2" s="357"/>
    </row>
    <row r="3" spans="3:4" x14ac:dyDescent="0.25">
      <c r="C3" s="358"/>
      <c r="D3" s="359"/>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72" t="s">
        <v>251</v>
      </c>
      <c r="E2" s="373"/>
      <c r="F2" s="373"/>
      <c r="G2" s="373"/>
      <c r="H2" s="373"/>
      <c r="I2" s="373"/>
      <c r="J2" s="373"/>
      <c r="K2" s="374"/>
      <c r="L2" s="363" t="s">
        <v>205</v>
      </c>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5"/>
      <c r="AP2" s="285" t="s">
        <v>250</v>
      </c>
      <c r="AQ2" s="360"/>
      <c r="AR2" s="360"/>
      <c r="AS2" s="360"/>
      <c r="AT2" s="360"/>
      <c r="AU2" s="360"/>
      <c r="AV2" s="258"/>
    </row>
    <row r="3" spans="1:101" x14ac:dyDescent="0.25">
      <c r="D3" s="375"/>
      <c r="E3" s="376"/>
      <c r="F3" s="376"/>
      <c r="G3" s="376"/>
      <c r="H3" s="376"/>
      <c r="I3" s="376"/>
      <c r="J3" s="376"/>
      <c r="K3" s="377"/>
      <c r="L3" s="366"/>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8"/>
      <c r="AP3" s="286" t="s">
        <v>264</v>
      </c>
      <c r="AQ3" s="361"/>
      <c r="AR3" s="361"/>
      <c r="AS3" s="361"/>
      <c r="AT3" s="361"/>
      <c r="AU3" s="361"/>
      <c r="AV3" s="260"/>
    </row>
    <row r="4" spans="1:101" x14ac:dyDescent="0.25">
      <c r="D4" s="375"/>
      <c r="E4" s="376"/>
      <c r="F4" s="376"/>
      <c r="G4" s="376"/>
      <c r="H4" s="376"/>
      <c r="I4" s="376"/>
      <c r="J4" s="376"/>
      <c r="K4" s="377"/>
      <c r="L4" s="366"/>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8"/>
      <c r="AP4" s="286" t="s">
        <v>389</v>
      </c>
      <c r="AQ4" s="361" t="s">
        <v>263</v>
      </c>
      <c r="AR4" s="361"/>
      <c r="AS4" s="361"/>
      <c r="AT4" s="361"/>
      <c r="AU4" s="361"/>
      <c r="AV4" s="260"/>
    </row>
    <row r="5" spans="1:101" ht="15.75" thickBot="1" x14ac:dyDescent="0.3">
      <c r="D5" s="378"/>
      <c r="E5" s="379"/>
      <c r="F5" s="379"/>
      <c r="G5" s="379"/>
      <c r="H5" s="379"/>
      <c r="I5" s="379"/>
      <c r="J5" s="379"/>
      <c r="K5" s="380"/>
      <c r="L5" s="369"/>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1"/>
      <c r="AP5" s="287" t="s">
        <v>245</v>
      </c>
      <c r="AQ5" s="362" t="s">
        <v>245</v>
      </c>
      <c r="AR5" s="362"/>
      <c r="AS5" s="362"/>
      <c r="AT5" s="362"/>
      <c r="AU5" s="362"/>
      <c r="AV5" s="262"/>
    </row>
    <row r="7" spans="1:101" ht="18" customHeight="1" x14ac:dyDescent="0.25">
      <c r="C7" s="69"/>
      <c r="D7" s="467" t="s">
        <v>157</v>
      </c>
      <c r="E7" s="467"/>
      <c r="F7" s="467"/>
      <c r="G7" s="467"/>
      <c r="H7" s="467"/>
      <c r="I7" s="467"/>
      <c r="J7" s="467"/>
      <c r="K7" s="467"/>
      <c r="L7" s="425" t="s">
        <v>2</v>
      </c>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28" t="s">
        <v>266</v>
      </c>
      <c r="B8" s="328"/>
      <c r="C8" s="329"/>
      <c r="D8" s="467"/>
      <c r="E8" s="467"/>
      <c r="F8" s="467"/>
      <c r="G8" s="467"/>
      <c r="H8" s="467"/>
      <c r="I8" s="467"/>
      <c r="J8" s="467"/>
      <c r="K8" s="467"/>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67"/>
      <c r="E9" s="467"/>
      <c r="F9" s="467"/>
      <c r="G9" s="467"/>
      <c r="H9" s="467"/>
      <c r="I9" s="467"/>
      <c r="J9" s="467"/>
      <c r="K9" s="467"/>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81" t="s">
        <v>4</v>
      </c>
      <c r="E11" s="381"/>
      <c r="F11" s="382"/>
      <c r="G11" s="419" t="s">
        <v>115</v>
      </c>
      <c r="H11" s="420"/>
      <c r="I11" s="420"/>
      <c r="J11" s="420"/>
      <c r="K11" s="420"/>
      <c r="L11" s="427" t="str">
        <f>IF(AND('Mapa final'!$S$15="Muy Alta",'Mapa final'!$W$15="Leve"),CONCATENATE("R",'Mapa final'!$A$15),"")</f>
        <v/>
      </c>
      <c r="M11" s="428"/>
      <c r="N11" s="428" t="str">
        <f>IF(AND('Mapa final'!$N$16="Muy Alta",'Mapa final'!$R$16="Leve"),CONCATENATE("R",'Mapa final'!$A$16),"")</f>
        <v/>
      </c>
      <c r="O11" s="428"/>
      <c r="P11" s="428" t="str">
        <f>IF(AND('Mapa final'!$N$17="Muy Alta",'Mapa final'!$R$17="Leve"),CONCATENATE("R",'Mapa final'!$A$17),"")</f>
        <v/>
      </c>
      <c r="Q11" s="441"/>
      <c r="R11" s="427" t="str">
        <f>IF(AND('Mapa final'!$S$15="Muy Alta",'Mapa final'!$W$15="Menor"),CONCATENATE("R",'Mapa final'!$A$15),"")</f>
        <v/>
      </c>
      <c r="S11" s="428"/>
      <c r="T11" s="428" t="str">
        <f>IF(AND('Mapa final'!$S$16="Muy Alta",'Mapa final'!$W$16="Menor"),CONCATENATE("R",'Mapa final'!$A$16),"")</f>
        <v/>
      </c>
      <c r="U11" s="428"/>
      <c r="V11" s="428" t="str">
        <f>IF(AND('Mapa final'!$S$17="Muy Alta",'Mapa final'!$W$17="Menor"),CONCATENATE("R",'Mapa final'!$A$17),"")</f>
        <v/>
      </c>
      <c r="W11" s="428"/>
      <c r="X11" s="427" t="str">
        <f>IF(AND('Mapa final'!$S$15="Muy Alta",'Mapa final'!$W$15="Moderado"),CONCATENATE("R",'Mapa final'!$A$15),"")</f>
        <v/>
      </c>
      <c r="Y11" s="428"/>
      <c r="Z11" s="428" t="str">
        <f>IF(AND('Mapa final'!S$16="Muy Alta",'Mapa final'!$W$16="Moderado"),CONCATENATE("R",'Mapa final'!$A$16),"")</f>
        <v/>
      </c>
      <c r="AA11" s="428"/>
      <c r="AB11" s="428" t="str">
        <f>IF(AND('Mapa final'!$S$17="Muy Alta",'Mapa final'!$W$17="Moderado"),CONCATENATE("R",'Mapa final'!$A$17),"")</f>
        <v/>
      </c>
      <c r="AC11" s="428"/>
      <c r="AD11" s="427" t="str">
        <f>IF(AND('Mapa final'!$S$15="Muy Alta",'Mapa final'!$W$15="Mayor"),CONCATENATE("R",'Mapa final'!$A$15),"")</f>
        <v/>
      </c>
      <c r="AE11" s="428"/>
      <c r="AF11" s="428" t="str">
        <f>IF(AND('Mapa final'!$S$16="Muy Alta",'Mapa final'!$W$16="Mayor"),CONCATENATE("R",'Mapa final'!$A$16),"")</f>
        <v/>
      </c>
      <c r="AG11" s="428"/>
      <c r="AH11" s="428" t="str">
        <f>IF(AND('Mapa final'!$S$17="Muy Alta",'Mapa final'!$W$17="Mayor"),CONCATENATE("R",'Mapa final'!$A$17),"")</f>
        <v/>
      </c>
      <c r="AI11" s="428"/>
      <c r="AJ11" s="445" t="str">
        <f>IF(AND('Mapa final'!$S$15="Muy Alta",'Mapa final'!$W$15="Catastrófico"),CONCATENATE("R",'Mapa final'!$A$15),"")</f>
        <v/>
      </c>
      <c r="AK11" s="446"/>
      <c r="AL11" s="446" t="str">
        <f>IF(AND('Mapa final'!$S$16="Muy Alta",'Mapa final'!$W$16="Catastrófico"),CONCATENATE("R",'Mapa final'!$A$16),"")</f>
        <v/>
      </c>
      <c r="AM11" s="446"/>
      <c r="AN11" s="446" t="str">
        <f>IF(AND('Mapa final'!$S$17="Muy Alta",'Mapa final'!$W$17="Catastrófico"),CONCATENATE("R",'Mapa final'!$A$17),"")</f>
        <v/>
      </c>
      <c r="AO11" s="447"/>
      <c r="AQ11" s="383" t="s">
        <v>78</v>
      </c>
      <c r="AR11" s="384"/>
      <c r="AS11" s="384"/>
      <c r="AT11" s="384"/>
      <c r="AU11" s="384"/>
      <c r="AV11" s="385"/>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81"/>
      <c r="E12" s="381"/>
      <c r="F12" s="382"/>
      <c r="G12" s="421"/>
      <c r="H12" s="422"/>
      <c r="I12" s="422"/>
      <c r="J12" s="422"/>
      <c r="K12" s="422"/>
      <c r="L12" s="429"/>
      <c r="M12" s="426"/>
      <c r="N12" s="426"/>
      <c r="O12" s="426"/>
      <c r="P12" s="426"/>
      <c r="Q12" s="434"/>
      <c r="R12" s="429"/>
      <c r="S12" s="426"/>
      <c r="T12" s="426"/>
      <c r="U12" s="426"/>
      <c r="V12" s="426"/>
      <c r="W12" s="426"/>
      <c r="X12" s="429"/>
      <c r="Y12" s="426"/>
      <c r="Z12" s="426"/>
      <c r="AA12" s="426"/>
      <c r="AB12" s="426"/>
      <c r="AC12" s="426"/>
      <c r="AD12" s="429"/>
      <c r="AE12" s="426"/>
      <c r="AF12" s="426"/>
      <c r="AG12" s="426"/>
      <c r="AH12" s="426"/>
      <c r="AI12" s="426"/>
      <c r="AJ12" s="442"/>
      <c r="AK12" s="443"/>
      <c r="AL12" s="443"/>
      <c r="AM12" s="443"/>
      <c r="AN12" s="443"/>
      <c r="AO12" s="444"/>
      <c r="AP12" s="69"/>
      <c r="AQ12" s="386"/>
      <c r="AR12" s="387"/>
      <c r="AS12" s="387"/>
      <c r="AT12" s="387"/>
      <c r="AU12" s="387"/>
      <c r="AV12" s="388"/>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81"/>
      <c r="E13" s="381"/>
      <c r="F13" s="382"/>
      <c r="G13" s="421"/>
      <c r="H13" s="422"/>
      <c r="I13" s="422"/>
      <c r="J13" s="422"/>
      <c r="K13" s="422"/>
      <c r="L13" s="429" t="str">
        <f>IF(AND('Mapa final'!$S$18="Muy Alta",'Mapa final'!$W$18="Leve"),CONCATENATE("R",'Mapa final'!$A$18),"")</f>
        <v/>
      </c>
      <c r="M13" s="426"/>
      <c r="N13" s="426" t="str">
        <f>IF(AND('Mapa final'!$N$20="Muy Alta",'Mapa final'!$R$20="Leve"),CONCATENATE("R",'Mapa final'!$A$20),"")</f>
        <v/>
      </c>
      <c r="O13" s="426"/>
      <c r="P13" s="426" t="str">
        <f>IF(AND('Mapa final'!$N$21="Muy Alta",'Mapa final'!$R$21="Leve"),CONCATENATE("R",'Mapa final'!$A$21),"")</f>
        <v/>
      </c>
      <c r="Q13" s="434"/>
      <c r="R13" s="429" t="str">
        <f>IF(AND('Mapa final'!$S$18="Muy Alta",'Mapa final'!$W$18="Menor"),CONCATENATE("R",'Mapa final'!$A$18),"")</f>
        <v/>
      </c>
      <c r="S13" s="426"/>
      <c r="T13" s="426" t="str">
        <f>IF(AND('Mapa final'!$S$20="Muy Alta",'Mapa final'!$W$20="Menor"),CONCATENATE("R",'Mapa final'!$A$20),"")</f>
        <v/>
      </c>
      <c r="U13" s="426"/>
      <c r="V13" s="426" t="str">
        <f>IF(AND('Mapa final'!$S$21="Muy Alta",'Mapa final'!$W$21="Menor"),CONCATENATE("R",'Mapa final'!$A$21),"")</f>
        <v/>
      </c>
      <c r="W13" s="426"/>
      <c r="X13" s="429" t="str">
        <f>IF(AND('Mapa final'!$S$18="Muy Alta",'Mapa final'!$W$18="Moderado"),CONCATENATE("R",'Mapa final'!$A$18),"")</f>
        <v/>
      </c>
      <c r="Y13" s="426"/>
      <c r="Z13" s="426" t="str">
        <f>IF(AND('Mapa final'!$S$20="Muy Alta",'Mapa final'!$W$20="Moderado"),CONCATENATE("R",'Mapa final'!$A$20),"")</f>
        <v/>
      </c>
      <c r="AA13" s="426"/>
      <c r="AB13" s="426" t="str">
        <f>IF(AND('Mapa final'!$S$21="Muy Alta",'Mapa final'!$W$21="Moderado"),CONCATENATE("R",'Mapa final'!$A$21),"")</f>
        <v/>
      </c>
      <c r="AC13" s="426"/>
      <c r="AD13" s="429" t="str">
        <f>IF(AND('Mapa final'!$S$18="Muy Alta",'Mapa final'!$W$18="Mayor"),CONCATENATE("R",'Mapa final'!$A$18),"")</f>
        <v/>
      </c>
      <c r="AE13" s="426"/>
      <c r="AF13" s="426" t="str">
        <f>IF(AND('Mapa final'!$S$20="Muy Alta",'Mapa final'!$W$20="Mayor"),CONCATENATE("R",'Mapa final'!$A$20),"")</f>
        <v/>
      </c>
      <c r="AG13" s="426"/>
      <c r="AH13" s="426" t="str">
        <f>IF(AND('Mapa final'!$S$21="Muy Alta",'Mapa final'!$W$21="Mayor"),CONCATENATE("R",'Mapa final'!$A$21),"")</f>
        <v/>
      </c>
      <c r="AI13" s="426"/>
      <c r="AJ13" s="442" t="str">
        <f>IF(AND('Mapa final'!$S$18="Muy Alta",'Mapa final'!$W$18="Catastrófico"),CONCATENATE("R",'Mapa final'!$A$18),"")</f>
        <v/>
      </c>
      <c r="AK13" s="443"/>
      <c r="AL13" s="443" t="str">
        <f>IF(AND('Mapa final'!$S$20="Muy Alta",'Mapa final'!$W$20="Catastrófico"),CONCATENATE("R",'Mapa final'!$A$20),"")</f>
        <v/>
      </c>
      <c r="AM13" s="443"/>
      <c r="AN13" s="443" t="str">
        <f>IF(AND('Mapa final'!$S$21="Muy Alta",'Mapa final'!$N$21="Catastrófico"),CONCATENATE("R",'Mapa final'!$A$21),"")</f>
        <v/>
      </c>
      <c r="AO13" s="444"/>
      <c r="AP13" s="69"/>
      <c r="AQ13" s="386"/>
      <c r="AR13" s="387"/>
      <c r="AS13" s="387"/>
      <c r="AT13" s="387"/>
      <c r="AU13" s="387"/>
      <c r="AV13" s="388"/>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81"/>
      <c r="E14" s="381"/>
      <c r="F14" s="382"/>
      <c r="G14" s="421"/>
      <c r="H14" s="422"/>
      <c r="I14" s="422"/>
      <c r="J14" s="422"/>
      <c r="K14" s="422"/>
      <c r="L14" s="429"/>
      <c r="M14" s="426"/>
      <c r="N14" s="426"/>
      <c r="O14" s="426"/>
      <c r="P14" s="426"/>
      <c r="Q14" s="434"/>
      <c r="R14" s="429"/>
      <c r="S14" s="426"/>
      <c r="T14" s="426"/>
      <c r="U14" s="426"/>
      <c r="V14" s="426"/>
      <c r="W14" s="426"/>
      <c r="X14" s="429"/>
      <c r="Y14" s="426"/>
      <c r="Z14" s="426"/>
      <c r="AA14" s="426"/>
      <c r="AB14" s="426"/>
      <c r="AC14" s="426"/>
      <c r="AD14" s="429"/>
      <c r="AE14" s="426"/>
      <c r="AF14" s="426"/>
      <c r="AG14" s="426"/>
      <c r="AH14" s="426"/>
      <c r="AI14" s="426"/>
      <c r="AJ14" s="442"/>
      <c r="AK14" s="443"/>
      <c r="AL14" s="443"/>
      <c r="AM14" s="443"/>
      <c r="AN14" s="443"/>
      <c r="AO14" s="444"/>
      <c r="AP14" s="69"/>
      <c r="AQ14" s="386"/>
      <c r="AR14" s="387"/>
      <c r="AS14" s="387"/>
      <c r="AT14" s="387"/>
      <c r="AU14" s="387"/>
      <c r="AV14" s="388"/>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81"/>
      <c r="E15" s="381"/>
      <c r="F15" s="382"/>
      <c r="G15" s="421"/>
      <c r="H15" s="422"/>
      <c r="I15" s="422"/>
      <c r="J15" s="422"/>
      <c r="K15" s="422"/>
      <c r="L15" s="429" t="str">
        <f>IF(AND('Mapa final'!$S$24="Muy Alta",'Mapa final'!$W$24="Leve"),CONCATENATE("R",'Mapa final'!$A$24),"")</f>
        <v/>
      </c>
      <c r="M15" s="426"/>
      <c r="N15" s="426" t="str">
        <f>IF(AND('Mapa final'!$N$25="Muy Alta",'Mapa final'!$R$25="Leve"),CONCATENATE("R",'Mapa final'!$A$25),"")</f>
        <v/>
      </c>
      <c r="O15" s="426"/>
      <c r="P15" s="426" t="str">
        <f>IF(AND('Mapa final'!$N$26="Muy Alta",'Mapa final'!$R$26="Leve"),CONCATENATE("R",'Mapa final'!$A$26),"")</f>
        <v/>
      </c>
      <c r="Q15" s="434"/>
      <c r="R15" s="429" t="str">
        <f>IF(AND('Mapa final'!$S$24="Muy Alta",'Mapa final'!$W$24="Menor"),CONCATENATE("R",'Mapa final'!$A$24),"")</f>
        <v/>
      </c>
      <c r="S15" s="426"/>
      <c r="T15" s="426" t="str">
        <f>IF(AND('Mapa final'!$LU$25="Muy Alta",'Mapa final'!$W$25="Menor"),CONCATENATE("R",'Mapa final'!$A$25),"")</f>
        <v/>
      </c>
      <c r="U15" s="426"/>
      <c r="V15" s="426" t="str">
        <f>IF(AND('Mapa final'!$S$26="Muy Alta",'Mapa final'!$W$26="Menor"),CONCATENATE("R",'Mapa final'!$A$26),"")</f>
        <v/>
      </c>
      <c r="W15" s="426"/>
      <c r="X15" s="429" t="str">
        <f>IF(AND('Mapa final'!$S$24="Muy Alta",'Mapa final'!$W$24="Moderado"),CONCATENATE("R",'Mapa final'!$A$24),"")</f>
        <v/>
      </c>
      <c r="Y15" s="426"/>
      <c r="Z15" s="426" t="str">
        <f>IF(AND('Mapa final'!$S$25="Muy Alta",'Mapa final'!$W$25="Moderado"),CONCATENATE("R",'Mapa final'!$A$25),"")</f>
        <v/>
      </c>
      <c r="AA15" s="426"/>
      <c r="AB15" s="426" t="str">
        <f>IF(AND('Mapa final'!$S$26="Muy Alta",'Mapa final'!$W$26="Moderado"),CONCATENATE("R",'Mapa final'!$A$26),"")</f>
        <v/>
      </c>
      <c r="AC15" s="426"/>
      <c r="AD15" s="429" t="str">
        <f>IF(AND('Mapa final'!$S$24="Muy Alta",'Mapa final'!$W$24="Mayor"),CONCATENATE("R",'Mapa final'!$A$24),"")</f>
        <v/>
      </c>
      <c r="AE15" s="426"/>
      <c r="AF15" s="426" t="str">
        <f>IF(AND('Mapa final'!$S$25="Muy Alta",'Mapa final'!$W$25="Mayor"),CONCATENATE("R",'Mapa final'!$A$25),"")</f>
        <v/>
      </c>
      <c r="AG15" s="426"/>
      <c r="AH15" s="426" t="str">
        <f>IF(AND('Mapa final'!$S$26="Muy Alta",'Mapa final'!$W$26="Mayor"),CONCATENATE("R",'Mapa final'!$A$26),"")</f>
        <v/>
      </c>
      <c r="AI15" s="426"/>
      <c r="AJ15" s="442" t="str">
        <f>IF(AND('Mapa final'!$S$24="Muy Alta",'Mapa final'!$W$24="Catastrófico"),CONCATENATE("R",'Mapa final'!$A$24),"")</f>
        <v/>
      </c>
      <c r="AK15" s="443"/>
      <c r="AL15" s="443" t="str">
        <f>IF(AND('Mapa final'!$S$25="Muy Alta",'Mapa final'!$W$25="Catastrófico"),CONCATENATE("R",'Mapa final'!$A$25),"")</f>
        <v/>
      </c>
      <c r="AM15" s="443"/>
      <c r="AN15" s="443" t="str">
        <f>IF(AND('Mapa final'!$S$26="Muy Alta",'Mapa final'!$W$26="Catastrófico"),CONCATENATE("R",'Mapa final'!$A$26),"")</f>
        <v/>
      </c>
      <c r="AO15" s="444"/>
      <c r="AP15" s="69"/>
      <c r="AQ15" s="386"/>
      <c r="AR15" s="387"/>
      <c r="AS15" s="387"/>
      <c r="AT15" s="387"/>
      <c r="AU15" s="387"/>
      <c r="AV15" s="388"/>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81"/>
      <c r="E16" s="381"/>
      <c r="F16" s="382"/>
      <c r="G16" s="421"/>
      <c r="H16" s="422"/>
      <c r="I16" s="422"/>
      <c r="J16" s="422"/>
      <c r="K16" s="422"/>
      <c r="L16" s="429"/>
      <c r="M16" s="426"/>
      <c r="N16" s="426"/>
      <c r="O16" s="426"/>
      <c r="P16" s="426"/>
      <c r="Q16" s="434"/>
      <c r="R16" s="429"/>
      <c r="S16" s="426"/>
      <c r="T16" s="426"/>
      <c r="U16" s="426"/>
      <c r="V16" s="426"/>
      <c r="W16" s="426"/>
      <c r="X16" s="429"/>
      <c r="Y16" s="426"/>
      <c r="Z16" s="426"/>
      <c r="AA16" s="426"/>
      <c r="AB16" s="426"/>
      <c r="AC16" s="426"/>
      <c r="AD16" s="429"/>
      <c r="AE16" s="426"/>
      <c r="AF16" s="426"/>
      <c r="AG16" s="426"/>
      <c r="AH16" s="426"/>
      <c r="AI16" s="426"/>
      <c r="AJ16" s="442"/>
      <c r="AK16" s="443"/>
      <c r="AL16" s="443"/>
      <c r="AM16" s="443"/>
      <c r="AN16" s="443"/>
      <c r="AO16" s="444"/>
      <c r="AP16" s="69"/>
      <c r="AQ16" s="386"/>
      <c r="AR16" s="387"/>
      <c r="AS16" s="387"/>
      <c r="AT16" s="387"/>
      <c r="AU16" s="387"/>
      <c r="AV16" s="388"/>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81"/>
      <c r="E17" s="381"/>
      <c r="F17" s="382"/>
      <c r="G17" s="421"/>
      <c r="H17" s="422"/>
      <c r="I17" s="422"/>
      <c r="J17" s="422"/>
      <c r="K17" s="422"/>
      <c r="L17" s="429" t="str">
        <f>IF(AND('Mapa final'!$S$27="Muy Alta",'Mapa final'!$W$27="Leve"),CONCATENATE("R",'Mapa final'!$A$27),"")</f>
        <v/>
      </c>
      <c r="M17" s="426"/>
      <c r="N17" s="426" t="str">
        <f>IF(AND('Mapa final'!$N$28="Muy Alta",'Mapa final'!$R$28="Leve"),CONCATENATE("R",'Mapa final'!$A$28),"")</f>
        <v/>
      </c>
      <c r="O17" s="426"/>
      <c r="P17" s="426" t="str">
        <f>IF(AND('Mapa final'!$N$29="Muy Alta",'Mapa final'!$R$29="Leve"),CONCATENATE("R",'Mapa final'!$A$29),"")</f>
        <v/>
      </c>
      <c r="Q17" s="434"/>
      <c r="R17" s="429" t="str">
        <f>IF(AND('Mapa final'!$S$27="Muy Alta",'Mapa final'!$W$27="Menor"),CONCATENATE("R",'Mapa final'!$A$27),"")</f>
        <v/>
      </c>
      <c r="S17" s="426"/>
      <c r="T17" s="426" t="str">
        <f>IF(AND('Mapa final'!$S$28="Muy Alta",'Mapa final'!$W$28="Menor"),CONCATENATE("R",'Mapa final'!$A$28),"")</f>
        <v/>
      </c>
      <c r="U17" s="426"/>
      <c r="V17" s="426" t="str">
        <f>IF(AND('Mapa final'!$S$29="Muy Alta",'Mapa final'!$W$29="Menor"),CONCATENATE("R",'Mapa final'!$A$29),"")</f>
        <v/>
      </c>
      <c r="W17" s="426"/>
      <c r="X17" s="429" t="str">
        <f>IF(AND('Mapa final'!$S$27="Muy Alta",'Mapa final'!$W$27="Moderado"),CONCATENATE("R",'Mapa final'!$A$27),"")</f>
        <v/>
      </c>
      <c r="Y17" s="426"/>
      <c r="Z17" s="426" t="str">
        <f>IF(AND('Mapa final'!$S$28="Muy Alta",'Mapa final'!$W$28="Moderado"),CONCATENATE("R",'Mapa final'!$A$28),"")</f>
        <v/>
      </c>
      <c r="AA17" s="426"/>
      <c r="AB17" s="426" t="str">
        <f>IF(AND('Mapa final'!$S$29="Muy Alta",'Mapa final'!$W$29="Moderado"),CONCATENATE("R",'Mapa final'!$A$29),"")</f>
        <v/>
      </c>
      <c r="AC17" s="426"/>
      <c r="AD17" s="429" t="str">
        <f>IF(AND('Mapa final'!$S$27="Muy Alta",'Mapa final'!$W$27="Mayor"),CONCATENATE("R",'Mapa final'!$A$27),"")</f>
        <v/>
      </c>
      <c r="AE17" s="426"/>
      <c r="AF17" s="426" t="str">
        <f>IF(AND('Mapa final'!$S$28="Muy Alta",'Mapa final'!$W$28="Mayor"),CONCATENATE("R",'Mapa final'!$A$28),"")</f>
        <v/>
      </c>
      <c r="AG17" s="426"/>
      <c r="AH17" s="426" t="str">
        <f>IF(AND('Mapa final'!$S$29="Muy Alta",'Mapa final'!$W$29="Mayor"),CONCATENATE("R",'Mapa final'!$A$29),"")</f>
        <v/>
      </c>
      <c r="AI17" s="426"/>
      <c r="AJ17" s="442" t="str">
        <f>IF(AND('Mapa final'!$S$27="Muy Alta",'Mapa final'!$W$27="Catastrófico"),CONCATENATE("R",'Mapa final'!$A$27),"")</f>
        <v/>
      </c>
      <c r="AK17" s="443"/>
      <c r="AL17" s="443" t="str">
        <f>IF(AND('Mapa final'!$S$28="Muy Alta",'Mapa final'!$W$28="Catastrófico"),CONCATENATE("R",'Mapa final'!$A$28),"")</f>
        <v/>
      </c>
      <c r="AM17" s="443"/>
      <c r="AN17" s="443" t="str">
        <f>IF(AND('Mapa final'!$S$29="Muy Alta",'Mapa final'!$W$29="Catastrófico"),CONCATENATE("R",'Mapa final'!$A$29),"")</f>
        <v/>
      </c>
      <c r="AO17" s="444"/>
      <c r="AP17" s="69"/>
      <c r="AQ17" s="386"/>
      <c r="AR17" s="387"/>
      <c r="AS17" s="387"/>
      <c r="AT17" s="387"/>
      <c r="AU17" s="387"/>
      <c r="AV17" s="388"/>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81"/>
      <c r="E18" s="381"/>
      <c r="F18" s="382"/>
      <c r="G18" s="423"/>
      <c r="H18" s="424"/>
      <c r="I18" s="424"/>
      <c r="J18" s="424"/>
      <c r="K18" s="424"/>
      <c r="L18" s="440"/>
      <c r="M18" s="435"/>
      <c r="N18" s="435"/>
      <c r="O18" s="435"/>
      <c r="P18" s="435"/>
      <c r="Q18" s="436"/>
      <c r="R18" s="440"/>
      <c r="S18" s="435"/>
      <c r="T18" s="435"/>
      <c r="U18" s="435"/>
      <c r="V18" s="435"/>
      <c r="W18" s="435"/>
      <c r="X18" s="429"/>
      <c r="Y18" s="426"/>
      <c r="Z18" s="426"/>
      <c r="AA18" s="426"/>
      <c r="AB18" s="426"/>
      <c r="AC18" s="426"/>
      <c r="AD18" s="429"/>
      <c r="AE18" s="426"/>
      <c r="AF18" s="426"/>
      <c r="AG18" s="426"/>
      <c r="AH18" s="426"/>
      <c r="AI18" s="426"/>
      <c r="AJ18" s="442"/>
      <c r="AK18" s="443"/>
      <c r="AL18" s="443"/>
      <c r="AM18" s="443"/>
      <c r="AN18" s="443"/>
      <c r="AO18" s="444"/>
      <c r="AP18" s="69"/>
      <c r="AQ18" s="389"/>
      <c r="AR18" s="390"/>
      <c r="AS18" s="390"/>
      <c r="AT18" s="390"/>
      <c r="AU18" s="390"/>
      <c r="AV18" s="391"/>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81"/>
      <c r="E19" s="381"/>
      <c r="F19" s="382"/>
      <c r="G19" s="419" t="s">
        <v>114</v>
      </c>
      <c r="H19" s="420"/>
      <c r="I19" s="420"/>
      <c r="J19" s="420"/>
      <c r="K19" s="420"/>
      <c r="L19" s="455" t="str">
        <f>IF(AND('Mapa final'!$S$15="Alta",'Mapa final'!$W$15="Leve"),CONCATENATE("R",'Mapa final'!$A$15),"")</f>
        <v/>
      </c>
      <c r="M19" s="456"/>
      <c r="N19" s="456" t="str">
        <f>IF(AND('Mapa final'!$N$16="Alta",'Mapa final'!$R$16="Leve"),CONCATENATE("R",'Mapa final'!$A$16),"")</f>
        <v/>
      </c>
      <c r="O19" s="456"/>
      <c r="P19" s="456" t="str">
        <f>IF(AND('Mapa final'!$N$17="Alta",'Mapa final'!$R$17="Leve"),CONCATENATE("R",'Mapa final'!$A$17),"")</f>
        <v/>
      </c>
      <c r="Q19" s="457"/>
      <c r="R19" s="455" t="str">
        <f>IF(AND('Mapa final'!$S$15="Alta",'Mapa final'!$W$15="Menor"),CONCATENATE("R",'Mapa final'!$A$15),"")</f>
        <v/>
      </c>
      <c r="S19" s="456"/>
      <c r="T19" s="438" t="str">
        <f>IF(AND('Mapa final'!$S$16="Alta",'Mapa final'!$W$16="Menor"),CONCATENATE("R",'Mapa final'!$A$16),"")</f>
        <v/>
      </c>
      <c r="U19" s="438"/>
      <c r="V19" s="438" t="str">
        <f>IF(AND('Mapa final'!$S$17="Alta",'Mapa final'!$W$17="Menor"),CONCATENATE("R",'Mapa final'!$A$17),"")</f>
        <v/>
      </c>
      <c r="W19" s="438"/>
      <c r="X19" s="427" t="str">
        <f>IF(AND('Mapa final'!$S$15="Alta",'Mapa final'!$W$15="Moderado"),CONCATENATE("R",'Mapa final'!$A$15),"")</f>
        <v/>
      </c>
      <c r="Y19" s="428"/>
      <c r="Z19" s="428" t="str">
        <f>IF(AND('Mapa final'!S$16="Alta",'Mapa final'!$W$16="Moderado"),CONCATENATE("R",'Mapa final'!$A$16),"")</f>
        <v/>
      </c>
      <c r="AA19" s="428"/>
      <c r="AB19" s="428" t="str">
        <f>IF(AND('Mapa final'!$S$17="Alta",'Mapa final'!$W$17="Moderado"),CONCATENATE("R",'Mapa final'!$A$17),"")</f>
        <v/>
      </c>
      <c r="AC19" s="428"/>
      <c r="AD19" s="427" t="str">
        <f>IF(AND('Mapa final'!$S$15="Alta",'Mapa final'!$W$15="Mayor"),CONCATENATE("R",'Mapa final'!$A$15),"")</f>
        <v/>
      </c>
      <c r="AE19" s="428"/>
      <c r="AF19" s="428" t="str">
        <f>IF(AND('Mapa final'!$S$16="Alta",'Mapa final'!$W$16="Mayor"),CONCATENATE("R",'Mapa final'!$A$16),"")</f>
        <v/>
      </c>
      <c r="AG19" s="428"/>
      <c r="AH19" s="428" t="str">
        <f>IF(AND('Mapa final'!$S$17="Alta",'Mapa final'!$W$17="Mayor"),CONCATENATE("R",'Mapa final'!$A$17),"")</f>
        <v/>
      </c>
      <c r="AI19" s="428"/>
      <c r="AJ19" s="445" t="str">
        <f>IF(AND('Mapa final'!$S$15="Alta",'Mapa final'!$W$15="Catastrófico"),CONCATENATE("R",'Mapa final'!$A$15),"")</f>
        <v/>
      </c>
      <c r="AK19" s="446"/>
      <c r="AL19" s="446" t="str">
        <f>IF(AND('Mapa final'!$S$16="Alta",'Mapa final'!$W$16="Catastrófico"),CONCATENATE("R",'Mapa final'!$A$16),"")</f>
        <v/>
      </c>
      <c r="AM19" s="446"/>
      <c r="AN19" s="446" t="str">
        <f>IF(AND('Mapa final'!$S$17="Alta",'Mapa final'!$W$17="Catastrófico"),CONCATENATE("R",'Mapa final'!$A$17),"")</f>
        <v/>
      </c>
      <c r="AO19" s="447"/>
      <c r="AP19" s="69"/>
      <c r="AQ19" s="392" t="s">
        <v>79</v>
      </c>
      <c r="AR19" s="393"/>
      <c r="AS19" s="393"/>
      <c r="AT19" s="393"/>
      <c r="AU19" s="393"/>
      <c r="AV19" s="394"/>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81"/>
      <c r="E20" s="381"/>
      <c r="F20" s="382"/>
      <c r="G20" s="421"/>
      <c r="H20" s="422"/>
      <c r="I20" s="422"/>
      <c r="J20" s="422"/>
      <c r="K20" s="422"/>
      <c r="L20" s="437"/>
      <c r="M20" s="438"/>
      <c r="N20" s="438"/>
      <c r="O20" s="438"/>
      <c r="P20" s="438"/>
      <c r="Q20" s="451"/>
      <c r="R20" s="437"/>
      <c r="S20" s="438"/>
      <c r="T20" s="438"/>
      <c r="U20" s="438"/>
      <c r="V20" s="438"/>
      <c r="W20" s="438"/>
      <c r="X20" s="429"/>
      <c r="Y20" s="426"/>
      <c r="Z20" s="426"/>
      <c r="AA20" s="426"/>
      <c r="AB20" s="426"/>
      <c r="AC20" s="426"/>
      <c r="AD20" s="429"/>
      <c r="AE20" s="426"/>
      <c r="AF20" s="426"/>
      <c r="AG20" s="426"/>
      <c r="AH20" s="426"/>
      <c r="AI20" s="426"/>
      <c r="AJ20" s="442"/>
      <c r="AK20" s="443"/>
      <c r="AL20" s="443"/>
      <c r="AM20" s="443"/>
      <c r="AN20" s="443"/>
      <c r="AO20" s="444"/>
      <c r="AP20" s="69"/>
      <c r="AQ20" s="395"/>
      <c r="AR20" s="396"/>
      <c r="AS20" s="396"/>
      <c r="AT20" s="396"/>
      <c r="AU20" s="396"/>
      <c r="AV20" s="397"/>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81"/>
      <c r="E21" s="381"/>
      <c r="F21" s="382"/>
      <c r="G21" s="421"/>
      <c r="H21" s="422"/>
      <c r="I21" s="422"/>
      <c r="J21" s="422"/>
      <c r="K21" s="422"/>
      <c r="L21" s="437" t="str">
        <f>IF(AND('Mapa final'!$S$18="Alta",'Mapa final'!$W$18="Leve"),CONCATENATE("R",'Mapa final'!$A$18),"")</f>
        <v/>
      </c>
      <c r="M21" s="438"/>
      <c r="N21" s="438" t="str">
        <f>IF(AND('Mapa final'!$N$20="Alta",'Mapa final'!$R$20="Leve"),CONCATENATE("R",'Mapa final'!$A$20),"")</f>
        <v/>
      </c>
      <c r="O21" s="438"/>
      <c r="P21" s="438" t="str">
        <f>IF(AND('Mapa final'!$N$21="Alta",'Mapa final'!$R$21="Leve"),CONCATENATE("R",'Mapa final'!$A$21),"")</f>
        <v/>
      </c>
      <c r="Q21" s="451"/>
      <c r="R21" s="437" t="str">
        <f>IF(AND('Mapa final'!$S$18="Alta",'Mapa final'!$W$18="Menor"),CONCATENATE("R",'Mapa final'!$A$18),"")</f>
        <v/>
      </c>
      <c r="S21" s="438"/>
      <c r="T21" s="438" t="str">
        <f>IF(AND('Mapa final'!$S$20="Alta",'Mapa final'!$W$20="Menor"),CONCATENATE("R",'Mapa final'!$A$20),"")</f>
        <v/>
      </c>
      <c r="U21" s="438"/>
      <c r="V21" s="438" t="str">
        <f>IF(AND('Mapa final'!$S$21="Alta",'Mapa final'!$W$21="Menor"),CONCATENATE("R",'Mapa final'!$A$21),"")</f>
        <v/>
      </c>
      <c r="W21" s="438"/>
      <c r="X21" s="429" t="str">
        <f>IF(AND('Mapa final'!$S$18="Alta",'Mapa final'!$W$18="Moderado"),CONCATENATE("R",'Mapa final'!$D$18),"")</f>
        <v>R2</v>
      </c>
      <c r="Y21" s="426"/>
      <c r="Z21" s="426" t="str">
        <f>IF(AND('Mapa final'!$S$20="Alta",'Mapa final'!$W$20="Moderado"),CONCATENATE("R",'Mapa final'!$D$20),"")</f>
        <v>R3</v>
      </c>
      <c r="AA21" s="426"/>
      <c r="AB21" s="426" t="str">
        <f>IF(AND('Mapa final'!$S$21="Alta",'Mapa final'!$W$21="Moderado"),CONCATENATE("R",'Mapa final'!$A$21),"")</f>
        <v/>
      </c>
      <c r="AC21" s="426"/>
      <c r="AD21" s="429" t="str">
        <f>IF(AND('Mapa final'!$S$18="Alta",'Mapa final'!$W$18="Mayor"),CONCATENATE("R",'Mapa final'!$A$18),"")</f>
        <v/>
      </c>
      <c r="AE21" s="426"/>
      <c r="AF21" s="426" t="str">
        <f>IF(AND('Mapa final'!$S$20="Alta",'Mapa final'!$W$20="Mayor"),CONCATENATE("R",'Mapa final'!$A$20),"")</f>
        <v/>
      </c>
      <c r="AG21" s="426"/>
      <c r="AH21" s="426" t="str">
        <f>IF(AND('Mapa final'!$S$21="Alta",'Mapa final'!$W$21="Mayor"),CONCATENATE("R",'Mapa final'!$A$21),"")</f>
        <v/>
      </c>
      <c r="AI21" s="426"/>
      <c r="AJ21" s="442" t="str">
        <f>IF(AND('Mapa final'!$S$18="Alta",'Mapa final'!$W$18="Catastrófico"),CONCATENATE("R",'Mapa final'!$A$18),"")</f>
        <v/>
      </c>
      <c r="AK21" s="443"/>
      <c r="AL21" s="443" t="str">
        <f>IF(AND('Mapa final'!$S$20="Alta",'Mapa final'!$W$20="Catastrófico"),CONCATENATE("R",'Mapa final'!$A$20),"")</f>
        <v/>
      </c>
      <c r="AM21" s="443"/>
      <c r="AN21" s="443" t="str">
        <f>IF(AND('Mapa final'!$S$21="Alta",'Mapa final'!$N$21="Catastrófico"),CONCATENATE("R",'Mapa final'!$A$21),"")</f>
        <v/>
      </c>
      <c r="AO21" s="444"/>
      <c r="AP21" s="69"/>
      <c r="AQ21" s="395"/>
      <c r="AR21" s="396"/>
      <c r="AS21" s="396"/>
      <c r="AT21" s="396"/>
      <c r="AU21" s="396"/>
      <c r="AV21" s="397"/>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81"/>
      <c r="E22" s="381"/>
      <c r="F22" s="382"/>
      <c r="G22" s="421"/>
      <c r="H22" s="422"/>
      <c r="I22" s="422"/>
      <c r="J22" s="422"/>
      <c r="K22" s="422"/>
      <c r="L22" s="437"/>
      <c r="M22" s="438"/>
      <c r="N22" s="438"/>
      <c r="O22" s="438"/>
      <c r="P22" s="438"/>
      <c r="Q22" s="451"/>
      <c r="R22" s="437"/>
      <c r="S22" s="438"/>
      <c r="T22" s="438"/>
      <c r="U22" s="438"/>
      <c r="V22" s="438"/>
      <c r="W22" s="438"/>
      <c r="X22" s="429"/>
      <c r="Y22" s="426"/>
      <c r="Z22" s="426"/>
      <c r="AA22" s="426"/>
      <c r="AB22" s="426"/>
      <c r="AC22" s="426"/>
      <c r="AD22" s="429"/>
      <c r="AE22" s="426"/>
      <c r="AF22" s="426"/>
      <c r="AG22" s="426"/>
      <c r="AH22" s="426"/>
      <c r="AI22" s="426"/>
      <c r="AJ22" s="442"/>
      <c r="AK22" s="443"/>
      <c r="AL22" s="443"/>
      <c r="AM22" s="443"/>
      <c r="AN22" s="443"/>
      <c r="AO22" s="444"/>
      <c r="AP22" s="69"/>
      <c r="AQ22" s="395"/>
      <c r="AR22" s="396"/>
      <c r="AS22" s="396"/>
      <c r="AT22" s="396"/>
      <c r="AU22" s="396"/>
      <c r="AV22" s="397"/>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81"/>
      <c r="E23" s="381"/>
      <c r="F23" s="382"/>
      <c r="G23" s="421"/>
      <c r="H23" s="422"/>
      <c r="I23" s="422"/>
      <c r="J23" s="422"/>
      <c r="K23" s="422"/>
      <c r="L23" s="437" t="str">
        <f>IF(AND('Mapa final'!$S$24="Alta",'Mapa final'!$W$24="Leve"),CONCATENATE("R",'Mapa final'!$A$24),"")</f>
        <v/>
      </c>
      <c r="M23" s="438"/>
      <c r="N23" s="438" t="str">
        <f>IF(AND('Mapa final'!$N$25="Alta",'Mapa final'!$R$25="Leve"),CONCATENATE("R",'Mapa final'!$A$25),"")</f>
        <v/>
      </c>
      <c r="O23" s="438"/>
      <c r="P23" s="438" t="str">
        <f>IF(AND('Mapa final'!$N$26="Alta",'Mapa final'!$R$26="Leve"),CONCATENATE("R",'Mapa final'!$A$26),"")</f>
        <v/>
      </c>
      <c r="Q23" s="451"/>
      <c r="R23" s="437" t="str">
        <f>IF(AND('Mapa final'!$S$24="Alta",'Mapa final'!$W$24="Menor"),CONCATENATE("R",'Mapa final'!$A$24),"")</f>
        <v/>
      </c>
      <c r="S23" s="438"/>
      <c r="T23" s="438" t="str">
        <f>IF(AND('Mapa final'!$LU$25="Alta",'Mapa final'!$W$25="Menor"),CONCATENATE("R",'Mapa final'!$A$25),"")</f>
        <v/>
      </c>
      <c r="U23" s="438"/>
      <c r="V23" s="438" t="str">
        <f>IF(AND('Mapa final'!$S$26="Alta",'Mapa final'!$W$26="Menor"),CONCATENATE("R",'Mapa final'!$A$26),"")</f>
        <v/>
      </c>
      <c r="W23" s="438"/>
      <c r="X23" s="429" t="str">
        <f>IF(AND('Mapa final'!$S$24="Alta",'Mapa final'!$W$24="Moderado"),CONCATENATE("R",'Mapa final'!$A$24),"")</f>
        <v/>
      </c>
      <c r="Y23" s="426"/>
      <c r="Z23" s="426" t="str">
        <f>IF(AND('Mapa final'!$S$25="Alta",'Mapa final'!$W$25="Moderado"),CONCATENATE("R",'Mapa final'!$A$25),"")</f>
        <v/>
      </c>
      <c r="AA23" s="426"/>
      <c r="AB23" s="426" t="str">
        <f>IF(AND('Mapa final'!$S$26="Alta",'Mapa final'!$W$26="Moderado"),CONCATENATE("R",'Mapa final'!$A$26),"")</f>
        <v/>
      </c>
      <c r="AC23" s="426"/>
      <c r="AD23" s="429" t="str">
        <f>IF(AND('Mapa final'!$S$24="Alta",'Mapa final'!$W$24="Mayor"),CONCATENATE("R",'Mapa final'!$A$24),"")</f>
        <v/>
      </c>
      <c r="AE23" s="426"/>
      <c r="AF23" s="426" t="str">
        <f>IF(AND('Mapa final'!$S$25="Alta",'Mapa final'!$W$25="Mayor"),CONCATENATE("R",'Mapa final'!$A$25),"")</f>
        <v/>
      </c>
      <c r="AG23" s="426"/>
      <c r="AH23" s="426" t="str">
        <f>IF(AND('Mapa final'!$S$26="Alta",'Mapa final'!$W$26="Mayor"),CONCATENATE("R",'Mapa final'!$A$26),"")</f>
        <v/>
      </c>
      <c r="AI23" s="426"/>
      <c r="AJ23" s="442" t="str">
        <f>IF(AND('Mapa final'!$S$24="Alta",'Mapa final'!$W$24="Catastrófico"),CONCATENATE("R",'Mapa final'!$A$24),"")</f>
        <v/>
      </c>
      <c r="AK23" s="443"/>
      <c r="AL23" s="443" t="str">
        <f>IF(AND('Mapa final'!$S$25="Alta",'Mapa final'!$W$25="Catastrófico"),CONCATENATE("R",'Mapa final'!$A$25),"")</f>
        <v/>
      </c>
      <c r="AM23" s="443"/>
      <c r="AN23" s="443" t="str">
        <f>IF(AND('Mapa final'!$S$26="Alta",'Mapa final'!$W$26="Catastrófico"),CONCATENATE("R",'Mapa final'!$A$26),"")</f>
        <v/>
      </c>
      <c r="AO23" s="444"/>
      <c r="AP23" s="69"/>
      <c r="AQ23" s="395"/>
      <c r="AR23" s="396"/>
      <c r="AS23" s="396"/>
      <c r="AT23" s="396"/>
      <c r="AU23" s="396"/>
      <c r="AV23" s="397"/>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81"/>
      <c r="E24" s="381"/>
      <c r="F24" s="382"/>
      <c r="G24" s="421"/>
      <c r="H24" s="422"/>
      <c r="I24" s="422"/>
      <c r="J24" s="422"/>
      <c r="K24" s="422"/>
      <c r="L24" s="437"/>
      <c r="M24" s="438"/>
      <c r="N24" s="438"/>
      <c r="O24" s="438"/>
      <c r="P24" s="438"/>
      <c r="Q24" s="451"/>
      <c r="R24" s="437"/>
      <c r="S24" s="438"/>
      <c r="T24" s="438"/>
      <c r="U24" s="438"/>
      <c r="V24" s="438"/>
      <c r="W24" s="438"/>
      <c r="X24" s="429"/>
      <c r="Y24" s="426"/>
      <c r="Z24" s="426"/>
      <c r="AA24" s="426"/>
      <c r="AB24" s="426"/>
      <c r="AC24" s="426"/>
      <c r="AD24" s="429"/>
      <c r="AE24" s="426"/>
      <c r="AF24" s="426"/>
      <c r="AG24" s="426"/>
      <c r="AH24" s="426"/>
      <c r="AI24" s="426"/>
      <c r="AJ24" s="442"/>
      <c r="AK24" s="443"/>
      <c r="AL24" s="443"/>
      <c r="AM24" s="443"/>
      <c r="AN24" s="443"/>
      <c r="AO24" s="444"/>
      <c r="AP24" s="69"/>
      <c r="AQ24" s="395"/>
      <c r="AR24" s="396"/>
      <c r="AS24" s="396"/>
      <c r="AT24" s="396"/>
      <c r="AU24" s="396"/>
      <c r="AV24" s="397"/>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81"/>
      <c r="E25" s="381"/>
      <c r="F25" s="382"/>
      <c r="G25" s="421"/>
      <c r="H25" s="422"/>
      <c r="I25" s="422"/>
      <c r="J25" s="422"/>
      <c r="K25" s="422"/>
      <c r="L25" s="437" t="str">
        <f>IF(AND('Mapa final'!$S$27="Alta",'Mapa final'!$W$27="Leve"),CONCATENATE("R",'Mapa final'!$A$27),"")</f>
        <v/>
      </c>
      <c r="M25" s="438"/>
      <c r="N25" s="438" t="str">
        <f>IF(AND('Mapa final'!$N$28="Alta",'Mapa final'!$R$28="Leve"),CONCATENATE("R",'Mapa final'!$A$28),"")</f>
        <v/>
      </c>
      <c r="O25" s="438"/>
      <c r="P25" s="438" t="str">
        <f>IF(AND('Mapa final'!$N$29="Alta",'Mapa final'!$R$29="Leve"),CONCATENATE("R",'Mapa final'!$A$29),"")</f>
        <v/>
      </c>
      <c r="Q25" s="451"/>
      <c r="R25" s="437" t="str">
        <f>IF(AND('Mapa final'!$S$27="Alta",'Mapa final'!$W$27="Menor"),CONCATENATE("R",'Mapa final'!$A$27),"")</f>
        <v/>
      </c>
      <c r="S25" s="438"/>
      <c r="T25" s="438" t="str">
        <f>IF(AND('Mapa final'!$S$28="Alta",'Mapa final'!$W$28="Menor"),CONCATENATE("R",'Mapa final'!$A$28),"")</f>
        <v/>
      </c>
      <c r="U25" s="438"/>
      <c r="V25" s="438" t="str">
        <f>IF(AND('Mapa final'!$S$29="Alta",'Mapa final'!$W$29="Menor"),CONCATENATE("R",'Mapa final'!$A$29),"")</f>
        <v/>
      </c>
      <c r="W25" s="438"/>
      <c r="X25" s="429" t="str">
        <f>IF(AND('Mapa final'!$S$27="Alta",'Mapa final'!$W$27="Moderado"),CONCATENATE("R",'Mapa final'!$A$27),"")</f>
        <v/>
      </c>
      <c r="Y25" s="426"/>
      <c r="Z25" s="426" t="str">
        <f>IF(AND('Mapa final'!$S$28="Alta",'Mapa final'!$W$28="Moderado"),CONCATENATE("R",'Mapa final'!$A$28),"")</f>
        <v/>
      </c>
      <c r="AA25" s="426"/>
      <c r="AB25" s="426" t="str">
        <f>IF(AND('Mapa final'!$S$29="Alta",'Mapa final'!$W$29="Moderado"),CONCATENATE("R",'Mapa final'!$A$29),"")</f>
        <v/>
      </c>
      <c r="AC25" s="426"/>
      <c r="AD25" s="429" t="str">
        <f>IF(AND('Mapa final'!$S$27="Alta",'Mapa final'!$W$27="Mayor"),CONCATENATE("R",'Mapa final'!$A$27),"")</f>
        <v/>
      </c>
      <c r="AE25" s="426"/>
      <c r="AF25" s="426" t="str">
        <f>IF(AND('Mapa final'!$S$28="Alta",'Mapa final'!$W$28="Mayor"),CONCATENATE("R",'Mapa final'!$A$28),"")</f>
        <v/>
      </c>
      <c r="AG25" s="426"/>
      <c r="AH25" s="426" t="str">
        <f>IF(AND('Mapa final'!$S$29="Alta",'Mapa final'!$W$29="Mayor"),CONCATENATE("R",'Mapa final'!$A$29),"")</f>
        <v/>
      </c>
      <c r="AI25" s="426"/>
      <c r="AJ25" s="442" t="str">
        <f>IF(AND('Mapa final'!$S$27="Alta",'Mapa final'!$W$27="Catastrófico"),CONCATENATE("R",'Mapa final'!$A$27),"")</f>
        <v/>
      </c>
      <c r="AK25" s="443"/>
      <c r="AL25" s="443" t="str">
        <f>IF(AND('Mapa final'!$S$28="Alta",'Mapa final'!$W$28="Catastrófico"),CONCATENATE("R",'Mapa final'!$A$28),"")</f>
        <v/>
      </c>
      <c r="AM25" s="443"/>
      <c r="AN25" s="443" t="str">
        <f>IF(AND('Mapa final'!$S$29="Alta",'Mapa final'!$W$29="Catastrófico"),CONCATENATE("R",'Mapa final'!$A$29),"")</f>
        <v/>
      </c>
      <c r="AO25" s="444"/>
      <c r="AP25" s="69"/>
      <c r="AQ25" s="395"/>
      <c r="AR25" s="396"/>
      <c r="AS25" s="396"/>
      <c r="AT25" s="396"/>
      <c r="AU25" s="396"/>
      <c r="AV25" s="397"/>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81"/>
      <c r="E26" s="381"/>
      <c r="F26" s="382"/>
      <c r="G26" s="423"/>
      <c r="H26" s="424"/>
      <c r="I26" s="424"/>
      <c r="J26" s="424"/>
      <c r="K26" s="424"/>
      <c r="L26" s="452"/>
      <c r="M26" s="453"/>
      <c r="N26" s="453"/>
      <c r="O26" s="453"/>
      <c r="P26" s="453"/>
      <c r="Q26" s="454"/>
      <c r="R26" s="452"/>
      <c r="S26" s="453"/>
      <c r="T26" s="438"/>
      <c r="U26" s="438"/>
      <c r="V26" s="438"/>
      <c r="W26" s="438"/>
      <c r="X26" s="429"/>
      <c r="Y26" s="426"/>
      <c r="Z26" s="426"/>
      <c r="AA26" s="426"/>
      <c r="AB26" s="426"/>
      <c r="AC26" s="426"/>
      <c r="AD26" s="429"/>
      <c r="AE26" s="426"/>
      <c r="AF26" s="426"/>
      <c r="AG26" s="426"/>
      <c r="AH26" s="426"/>
      <c r="AI26" s="426"/>
      <c r="AJ26" s="442"/>
      <c r="AK26" s="443"/>
      <c r="AL26" s="443"/>
      <c r="AM26" s="443"/>
      <c r="AN26" s="443"/>
      <c r="AO26" s="444"/>
      <c r="AP26" s="69"/>
      <c r="AQ26" s="398"/>
      <c r="AR26" s="399"/>
      <c r="AS26" s="399"/>
      <c r="AT26" s="399"/>
      <c r="AU26" s="399"/>
      <c r="AV26" s="400"/>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81"/>
      <c r="E27" s="381"/>
      <c r="F27" s="382"/>
      <c r="G27" s="419" t="s">
        <v>116</v>
      </c>
      <c r="H27" s="420"/>
      <c r="I27" s="420"/>
      <c r="J27" s="420"/>
      <c r="K27" s="420"/>
      <c r="L27" s="455" t="str">
        <f>IF(AND('Mapa final'!$S$15="Media",'Mapa final'!$W$15="Leve"),CONCATENATE("R",'Mapa final'!$A$15),"")</f>
        <v/>
      </c>
      <c r="M27" s="456"/>
      <c r="N27" s="456" t="str">
        <f>IF(AND('Mapa final'!$N$16="Media",'Mapa final'!$R$16="Leve"),CONCATENATE("R",'Mapa final'!$A$16),"")</f>
        <v/>
      </c>
      <c r="O27" s="456"/>
      <c r="P27" s="456" t="str">
        <f>IF(AND('Mapa final'!$S$17="Media",'Mapa final'!$W$17="leve"),CONCATENATE("R",'Mapa final'!$D$17),"")</f>
        <v/>
      </c>
      <c r="Q27" s="457"/>
      <c r="R27" s="455" t="str">
        <f>IF(AND('Mapa final'!$S$15="Media",'Mapa final'!$W$15="Menor"),CONCATENATE("R",'Mapa final'!$D$15),"")</f>
        <v>R1</v>
      </c>
      <c r="S27" s="456"/>
      <c r="T27" s="456" t="str">
        <f>IF(AND('Mapa final'!$S$16="Media",'Mapa final'!$W$16="Menor"),CONCATENATE("R",'Mapa final'!$A$16),"")</f>
        <v/>
      </c>
      <c r="U27" s="456"/>
      <c r="V27" s="456" t="str">
        <f>IF(AND('Mapa final'!$S$17="Media",'Mapa final'!$W$17="Menor"),CONCATENATE("R",'Mapa final'!$A$17),"")</f>
        <v/>
      </c>
      <c r="W27" s="456"/>
      <c r="X27" s="455" t="str">
        <f>IF(AND('Mapa final'!$S$15="Media",'Mapa final'!$W$15="Moderado"),CONCATENATE("R",'Mapa final'!$A$15),"")</f>
        <v/>
      </c>
      <c r="Y27" s="456"/>
      <c r="Z27" s="456" t="str">
        <f>IF(AND('Mapa final'!S$16="Media",'Mapa final'!$W$16="Moderado"),CONCATENATE("R",'Mapa final'!$A$16),"")</f>
        <v/>
      </c>
      <c r="AA27" s="456"/>
      <c r="AB27" s="456" t="str">
        <f>IF(AND('Mapa final'!$S$17="Media",'Mapa final'!$W$17="Moderado"),CONCATENATE("R",'Mapa final'!$A$17),"")</f>
        <v/>
      </c>
      <c r="AC27" s="456"/>
      <c r="AD27" s="427" t="str">
        <f>IF(AND('Mapa final'!$S$15="Media",'Mapa final'!$W$15="Mayor"),CONCATENATE("R",'Mapa final'!$D$15),"")</f>
        <v/>
      </c>
      <c r="AE27" s="428"/>
      <c r="AF27" s="428" t="str">
        <f>IF(AND('Mapa final'!$S$16="Media",'Mapa final'!$W$16="Mayor"),CONCATENATE("R",'Mapa final'!$A$16),"")</f>
        <v/>
      </c>
      <c r="AG27" s="428"/>
      <c r="AH27" s="428" t="str">
        <f>IF(AND('Mapa final'!$S$17="Media",'Mapa final'!$W$17="Mayor"),CONCATENATE("R",'Mapa final'!$A$17),"")</f>
        <v/>
      </c>
      <c r="AI27" s="428"/>
      <c r="AJ27" s="445" t="str">
        <f>IF(AND('Mapa final'!$S$15="Media",'Mapa final'!$W$15="Catastrófico"),CONCATENATE("R",'Mapa final'!$A$15),"")</f>
        <v/>
      </c>
      <c r="AK27" s="446"/>
      <c r="AL27" s="446" t="str">
        <f>IF(AND('Mapa final'!$S$16="Media",'Mapa final'!$W$16="Catastrófico"),CONCATENATE("R",'Mapa final'!$A$16),"")</f>
        <v/>
      </c>
      <c r="AM27" s="446"/>
      <c r="AN27" s="446" t="str">
        <f>IF(AND('Mapa final'!$S$17="Media",'Mapa final'!$W$17="Catastrófico"),CONCATENATE("R",'Mapa final'!$A$17),"")</f>
        <v/>
      </c>
      <c r="AO27" s="447"/>
      <c r="AP27" s="69"/>
      <c r="AQ27" s="401" t="s">
        <v>80</v>
      </c>
      <c r="AR27" s="402"/>
      <c r="AS27" s="402"/>
      <c r="AT27" s="402"/>
      <c r="AU27" s="402"/>
      <c r="AV27" s="403"/>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81"/>
      <c r="E28" s="381"/>
      <c r="F28" s="382"/>
      <c r="G28" s="421"/>
      <c r="H28" s="422"/>
      <c r="I28" s="422"/>
      <c r="J28" s="422"/>
      <c r="K28" s="422"/>
      <c r="L28" s="437"/>
      <c r="M28" s="438"/>
      <c r="N28" s="438"/>
      <c r="O28" s="438"/>
      <c r="P28" s="438"/>
      <c r="Q28" s="451"/>
      <c r="R28" s="437"/>
      <c r="S28" s="438"/>
      <c r="T28" s="438"/>
      <c r="U28" s="438"/>
      <c r="V28" s="438"/>
      <c r="W28" s="438"/>
      <c r="X28" s="437"/>
      <c r="Y28" s="438"/>
      <c r="Z28" s="438"/>
      <c r="AA28" s="438"/>
      <c r="AB28" s="438"/>
      <c r="AC28" s="438"/>
      <c r="AD28" s="429"/>
      <c r="AE28" s="426"/>
      <c r="AF28" s="426"/>
      <c r="AG28" s="426"/>
      <c r="AH28" s="426"/>
      <c r="AI28" s="426"/>
      <c r="AJ28" s="442"/>
      <c r="AK28" s="443"/>
      <c r="AL28" s="443"/>
      <c r="AM28" s="443"/>
      <c r="AN28" s="443"/>
      <c r="AO28" s="444"/>
      <c r="AP28" s="69"/>
      <c r="AQ28" s="404"/>
      <c r="AR28" s="405"/>
      <c r="AS28" s="405"/>
      <c r="AT28" s="405"/>
      <c r="AU28" s="405"/>
      <c r="AV28" s="406"/>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81"/>
      <c r="E29" s="381"/>
      <c r="F29" s="382"/>
      <c r="G29" s="421"/>
      <c r="H29" s="422"/>
      <c r="I29" s="422"/>
      <c r="J29" s="422"/>
      <c r="K29" s="422"/>
      <c r="L29" s="437" t="str">
        <f>IF(AND('Mapa final'!$S$18="Media",'Mapa final'!$W$18="Leve"),CONCATENATE("R",'Mapa final'!$A$18),"")</f>
        <v/>
      </c>
      <c r="M29" s="438"/>
      <c r="N29" s="438" t="str">
        <f>IF(AND('Mapa final'!$N$20="Media",'Mapa final'!$R$20="Leve"),CONCATENATE("R",'Mapa final'!$A$20),"")</f>
        <v/>
      </c>
      <c r="O29" s="438"/>
      <c r="P29" s="438" t="str">
        <f>IF(AND('Mapa final'!$N$21="Media",'Mapa final'!$R$21="Leve"),CONCATENATE("R",'Mapa final'!$A$21),"")</f>
        <v/>
      </c>
      <c r="Q29" s="451"/>
      <c r="R29" s="437" t="str">
        <f>IF(AND('Mapa final'!$S$18="Media",'Mapa final'!$W$18="Menor"),CONCATENATE("R",'Mapa final'!$A$18),"")</f>
        <v/>
      </c>
      <c r="S29" s="438"/>
      <c r="T29" s="438" t="str">
        <f>IF(AND('Mapa final'!$S$20="Media",'Mapa final'!$W$20="Menor"),CONCATENATE("R",'Mapa final'!$A$20),"")</f>
        <v/>
      </c>
      <c r="U29" s="438"/>
      <c r="V29" s="438" t="str">
        <f>IF(AND('Mapa final'!$S$21="Media",'Mapa final'!$W$21="Menor"),CONCATENATE("R",'Mapa final'!$A$21),"")</f>
        <v/>
      </c>
      <c r="W29" s="438"/>
      <c r="X29" s="437" t="str">
        <f>IF(AND('Mapa final'!$S$18="Media",'Mapa final'!$W$18="Moderado"),CONCATENATE("R",'Mapa final'!$A$18),"")</f>
        <v/>
      </c>
      <c r="Y29" s="438"/>
      <c r="Z29" s="438" t="str">
        <f>IF(AND('Mapa final'!$S$20="Media",'Mapa final'!$W$20="Moderado"),CONCATENATE("R",'Mapa final'!$A$20),"")</f>
        <v/>
      </c>
      <c r="AA29" s="438"/>
      <c r="AB29" s="438" t="str">
        <f>IF(AND('Mapa final'!$S$21="Media",'Mapa final'!$W$21="Moderado"),CONCATENATE("R",'Mapa final'!$A$21),"")</f>
        <v/>
      </c>
      <c r="AC29" s="438"/>
      <c r="AD29" s="429" t="str">
        <f>IF(AND('Mapa final'!$S$18="Media",'Mapa final'!$W$18="Mayor"),CONCATENATE("R",'Mapa final'!$A$18),"")</f>
        <v/>
      </c>
      <c r="AE29" s="426"/>
      <c r="AF29" s="426" t="str">
        <f>IF(AND('Mapa final'!$S$20="Media",'Mapa final'!$W$20="Mayor"),CONCATENATE("R",'Mapa final'!$A$20),"")</f>
        <v/>
      </c>
      <c r="AG29" s="426"/>
      <c r="AH29" s="426" t="str">
        <f>IF(AND('Mapa final'!$S$21="Media",'Mapa final'!$W$21="Mayor"),CONCATENATE("R",'Mapa final'!$A$21),"")</f>
        <v/>
      </c>
      <c r="AI29" s="426"/>
      <c r="AJ29" s="442" t="str">
        <f>IF(AND('Mapa final'!$S$18="Media",'Mapa final'!$W$18="Catastrófico"),CONCATENATE("R",'Mapa final'!$A$18),"")</f>
        <v/>
      </c>
      <c r="AK29" s="443"/>
      <c r="AL29" s="443" t="str">
        <f>IF(AND('Mapa final'!$S$20="Media",'Mapa final'!$W$20="Catastrófico"),CONCATENATE("R",'Mapa final'!$A$20),"")</f>
        <v/>
      </c>
      <c r="AM29" s="443"/>
      <c r="AN29" s="443" t="str">
        <f>IF(AND('Mapa final'!$S$21="Media",'Mapa final'!$N$21="Catastrófico"),CONCATENATE("R",'Mapa final'!$A$21),"")</f>
        <v/>
      </c>
      <c r="AO29" s="444"/>
      <c r="AP29" s="69"/>
      <c r="AQ29" s="404"/>
      <c r="AR29" s="405"/>
      <c r="AS29" s="405"/>
      <c r="AT29" s="405"/>
      <c r="AU29" s="405"/>
      <c r="AV29" s="406"/>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81"/>
      <c r="E30" s="381"/>
      <c r="F30" s="382"/>
      <c r="G30" s="421"/>
      <c r="H30" s="422"/>
      <c r="I30" s="422"/>
      <c r="J30" s="422"/>
      <c r="K30" s="422"/>
      <c r="L30" s="437"/>
      <c r="M30" s="438"/>
      <c r="N30" s="438"/>
      <c r="O30" s="438"/>
      <c r="P30" s="438"/>
      <c r="Q30" s="451"/>
      <c r="R30" s="437"/>
      <c r="S30" s="438"/>
      <c r="T30" s="438"/>
      <c r="U30" s="438"/>
      <c r="V30" s="438"/>
      <c r="W30" s="438"/>
      <c r="X30" s="437"/>
      <c r="Y30" s="438"/>
      <c r="Z30" s="438"/>
      <c r="AA30" s="438"/>
      <c r="AB30" s="438"/>
      <c r="AC30" s="438"/>
      <c r="AD30" s="429"/>
      <c r="AE30" s="426"/>
      <c r="AF30" s="426"/>
      <c r="AG30" s="426"/>
      <c r="AH30" s="426"/>
      <c r="AI30" s="426"/>
      <c r="AJ30" s="442"/>
      <c r="AK30" s="443"/>
      <c r="AL30" s="443"/>
      <c r="AM30" s="443"/>
      <c r="AN30" s="443"/>
      <c r="AO30" s="444"/>
      <c r="AP30" s="69"/>
      <c r="AQ30" s="404"/>
      <c r="AR30" s="405"/>
      <c r="AS30" s="405"/>
      <c r="AT30" s="405"/>
      <c r="AU30" s="405"/>
      <c r="AV30" s="406"/>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81"/>
      <c r="E31" s="381"/>
      <c r="F31" s="382"/>
      <c r="G31" s="421"/>
      <c r="H31" s="422"/>
      <c r="I31" s="422"/>
      <c r="J31" s="422"/>
      <c r="K31" s="422"/>
      <c r="L31" s="437" t="str">
        <f>IF(AND('Mapa final'!$S$24="Media",'Mapa final'!$W$24="Leve"),CONCATENATE("R",'Mapa final'!$A$24),"")</f>
        <v/>
      </c>
      <c r="M31" s="438"/>
      <c r="N31" s="438" t="str">
        <f>IF(AND('Mapa final'!$N$25="Media",'Mapa final'!$R$25="Leve"),CONCATENATE("R",'Mapa final'!$A$25),"")</f>
        <v/>
      </c>
      <c r="O31" s="438"/>
      <c r="P31" s="438" t="str">
        <f>IF(AND('Mapa final'!$N$26="Media",'Mapa final'!$R$26="Leve"),CONCATENATE("R",'Mapa final'!$A$26),"")</f>
        <v/>
      </c>
      <c r="Q31" s="451"/>
      <c r="R31" s="437" t="str">
        <f>IF(AND('Mapa final'!$S$24="Media",'Mapa final'!$W$24="Menor"),CONCATENATE("R",'Mapa final'!$A$24),"")</f>
        <v/>
      </c>
      <c r="S31" s="438"/>
      <c r="T31" s="438" t="str">
        <f>IF(AND('Mapa final'!$LU$25="Media",'Mapa final'!$W$25="Menor"),CONCATENATE("R",'Mapa final'!$A$25),"")</f>
        <v/>
      </c>
      <c r="U31" s="438"/>
      <c r="V31" s="438" t="str">
        <f>IF(AND('Mapa final'!$S$26="Media",'Mapa final'!$W$26="Menor"),CONCATENATE("R",'Mapa final'!$A$26),"")</f>
        <v/>
      </c>
      <c r="W31" s="438"/>
      <c r="X31" s="437" t="str">
        <f>IF(AND('Mapa final'!$S$24="Media",'Mapa final'!$W$24="Moderado"),CONCATENATE("R",'Mapa final'!$A$24),"")</f>
        <v/>
      </c>
      <c r="Y31" s="438"/>
      <c r="Z31" s="438" t="str">
        <f>IF(AND('Mapa final'!$S$25="Media",'Mapa final'!$W$25="Moderado"),CONCATENATE("R",'Mapa final'!$A$25),"")</f>
        <v/>
      </c>
      <c r="AA31" s="438"/>
      <c r="AB31" s="438" t="str">
        <f>IF(AND('Mapa final'!$S$26="Media",'Mapa final'!$W$26="Moderado"),CONCATENATE("R",'Mapa final'!$A$26),"")</f>
        <v/>
      </c>
      <c r="AC31" s="438"/>
      <c r="AD31" s="429" t="str">
        <f>IF(AND('Mapa final'!$S$24="Media",'Mapa final'!$W$24="Mayor"),CONCATENATE("R",'Mapa final'!$A$24),"")</f>
        <v/>
      </c>
      <c r="AE31" s="426"/>
      <c r="AF31" s="426" t="str">
        <f>IF(AND('Mapa final'!$S$25="Media",'Mapa final'!$W$25="Mayor"),CONCATENATE("R",'Mapa final'!$A$25),"")</f>
        <v/>
      </c>
      <c r="AG31" s="426"/>
      <c r="AH31" s="426" t="str">
        <f>IF(AND('Mapa final'!$S$26="Media",'Mapa final'!$W$26="Mayor"),CONCATENATE("R",'Mapa final'!$A$26),"")</f>
        <v/>
      </c>
      <c r="AI31" s="426"/>
      <c r="AJ31" s="442" t="str">
        <f>IF(AND('Mapa final'!$S$24="Media",'Mapa final'!$W$24="Catastrófico"),CONCATENATE("R",'Mapa final'!$A$24),"")</f>
        <v/>
      </c>
      <c r="AK31" s="443"/>
      <c r="AL31" s="443" t="str">
        <f>IF(AND('Mapa final'!$S$25="Media",'Mapa final'!$W$25="Catastrófico"),CONCATENATE("R",'Mapa final'!$A$25),"")</f>
        <v/>
      </c>
      <c r="AM31" s="443"/>
      <c r="AN31" s="443" t="str">
        <f>IF(AND('Mapa final'!$S$26="Media",'Mapa final'!$W$26="Catastrófico"),CONCATENATE("R",'Mapa final'!$A$26),"")</f>
        <v/>
      </c>
      <c r="AO31" s="444"/>
      <c r="AP31" s="69"/>
      <c r="AQ31" s="404"/>
      <c r="AR31" s="405"/>
      <c r="AS31" s="405"/>
      <c r="AT31" s="405"/>
      <c r="AU31" s="405"/>
      <c r="AV31" s="406"/>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81"/>
      <c r="E32" s="381"/>
      <c r="F32" s="382"/>
      <c r="G32" s="421"/>
      <c r="H32" s="422"/>
      <c r="I32" s="422"/>
      <c r="J32" s="422"/>
      <c r="K32" s="422"/>
      <c r="L32" s="437"/>
      <c r="M32" s="438"/>
      <c r="N32" s="438"/>
      <c r="O32" s="438"/>
      <c r="P32" s="438"/>
      <c r="Q32" s="451"/>
      <c r="R32" s="437"/>
      <c r="S32" s="438"/>
      <c r="T32" s="438"/>
      <c r="U32" s="438"/>
      <c r="V32" s="438"/>
      <c r="W32" s="438"/>
      <c r="X32" s="437"/>
      <c r="Y32" s="438"/>
      <c r="Z32" s="438"/>
      <c r="AA32" s="438"/>
      <c r="AB32" s="438"/>
      <c r="AC32" s="438"/>
      <c r="AD32" s="429"/>
      <c r="AE32" s="426"/>
      <c r="AF32" s="426"/>
      <c r="AG32" s="426"/>
      <c r="AH32" s="426"/>
      <c r="AI32" s="426"/>
      <c r="AJ32" s="442"/>
      <c r="AK32" s="443"/>
      <c r="AL32" s="443"/>
      <c r="AM32" s="443"/>
      <c r="AN32" s="443"/>
      <c r="AO32" s="444"/>
      <c r="AP32" s="69"/>
      <c r="AQ32" s="404"/>
      <c r="AR32" s="405"/>
      <c r="AS32" s="405"/>
      <c r="AT32" s="405"/>
      <c r="AU32" s="405"/>
      <c r="AV32" s="406"/>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81"/>
      <c r="E33" s="381"/>
      <c r="F33" s="382"/>
      <c r="G33" s="421"/>
      <c r="H33" s="422"/>
      <c r="I33" s="422"/>
      <c r="J33" s="422"/>
      <c r="K33" s="422"/>
      <c r="L33" s="437" t="str">
        <f>IF(AND('Mapa final'!$S$27="Mediaa",'Mapa final'!$W$27="Leve"),CONCATENATE("R",'Mapa final'!$A$27),"")</f>
        <v/>
      </c>
      <c r="M33" s="438"/>
      <c r="N33" s="438" t="str">
        <f>IF(AND('Mapa final'!$N$28="Media",'Mapa final'!$R$28="Leve"),CONCATENATE("R",'Mapa final'!$A$28),"")</f>
        <v/>
      </c>
      <c r="O33" s="438"/>
      <c r="P33" s="438" t="str">
        <f>IF(AND('Mapa final'!$N$29="Media",'Mapa final'!$R$29="Leve"),CONCATENATE("R",'Mapa final'!$A$29),"")</f>
        <v/>
      </c>
      <c r="Q33" s="451"/>
      <c r="R33" s="437" t="str">
        <f>IF(AND('Mapa final'!$S$27="Media",'Mapa final'!$W$27="Menor"),CONCATENATE("R",'Mapa final'!$A$27),"")</f>
        <v/>
      </c>
      <c r="S33" s="438"/>
      <c r="T33" s="438" t="str">
        <f>IF(AND('Mapa final'!$S$28="Media",'Mapa final'!$W$28="Menor"),CONCATENATE("R",'Mapa final'!$A$28),"")</f>
        <v/>
      </c>
      <c r="U33" s="438"/>
      <c r="V33" s="438" t="str">
        <f>IF(AND('Mapa final'!$S$29="Media",'Mapa final'!$W$29="Menor"),CONCATENATE("R",'Mapa final'!$A$29),"")</f>
        <v/>
      </c>
      <c r="W33" s="438"/>
      <c r="X33" s="437" t="str">
        <f>IF(AND('Mapa final'!$S$27="Media",'Mapa final'!$W$27="Moderado"),CONCATENATE("R",'Mapa final'!$A$27),"")</f>
        <v/>
      </c>
      <c r="Y33" s="438"/>
      <c r="Z33" s="438" t="str">
        <f>IF(AND('Mapa final'!$S$28="Media",'Mapa final'!$W$28="Moderado"),CONCATENATE("R",'Mapa final'!$A$28),"")</f>
        <v/>
      </c>
      <c r="AA33" s="438"/>
      <c r="AB33" s="438" t="str">
        <f>IF(AND('Mapa final'!$S$29="Media",'Mapa final'!$W$29="Moderado"),CONCATENATE("R",'Mapa final'!$A$29),"")</f>
        <v/>
      </c>
      <c r="AC33" s="438"/>
      <c r="AD33" s="429" t="str">
        <f>IF(AND('Mapa final'!$S$27="Media",'Mapa final'!$W$27="Mayor"),CONCATENATE("R",'Mapa final'!$A$27),"")</f>
        <v/>
      </c>
      <c r="AE33" s="426"/>
      <c r="AF33" s="426" t="str">
        <f>IF(AND('Mapa final'!$S$28="Media",'Mapa final'!$W$28="Mayor"),CONCATENATE("R",'Mapa final'!$A$28),"")</f>
        <v/>
      </c>
      <c r="AG33" s="426"/>
      <c r="AH33" s="426" t="str">
        <f>IF(AND('Mapa final'!$S$29="Media",'Mapa final'!$W$29="Mayor"),CONCATENATE("R",'Mapa final'!$A$29),"")</f>
        <v/>
      </c>
      <c r="AI33" s="426"/>
      <c r="AJ33" s="442" t="str">
        <f>IF(AND('Mapa final'!$S$27="Media",'Mapa final'!$W$27="Catastrófico"),CONCATENATE("R",'Mapa final'!$A$27),"")</f>
        <v/>
      </c>
      <c r="AK33" s="443"/>
      <c r="AL33" s="443" t="str">
        <f>IF(AND('Mapa final'!$S$28="Media",'Mapa final'!$W$28="Catastrófico"),CONCATENATE("R",'Mapa final'!$A$28),"")</f>
        <v/>
      </c>
      <c r="AM33" s="443"/>
      <c r="AN33" s="443" t="str">
        <f>IF(AND('Mapa final'!$S$29="Media",'Mapa final'!$W$29="Catastrófico"),CONCATENATE("R",'Mapa final'!$A$29),"")</f>
        <v/>
      </c>
      <c r="AO33" s="444"/>
      <c r="AP33" s="69"/>
      <c r="AQ33" s="404"/>
      <c r="AR33" s="405"/>
      <c r="AS33" s="405"/>
      <c r="AT33" s="405"/>
      <c r="AU33" s="405"/>
      <c r="AV33" s="406"/>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81"/>
      <c r="E34" s="381"/>
      <c r="F34" s="382"/>
      <c r="G34" s="423"/>
      <c r="H34" s="424"/>
      <c r="I34" s="424"/>
      <c r="J34" s="424"/>
      <c r="K34" s="424"/>
      <c r="L34" s="452"/>
      <c r="M34" s="453"/>
      <c r="N34" s="453"/>
      <c r="O34" s="453"/>
      <c r="P34" s="453"/>
      <c r="Q34" s="454"/>
      <c r="R34" s="452"/>
      <c r="S34" s="453"/>
      <c r="T34" s="453"/>
      <c r="U34" s="453"/>
      <c r="V34" s="453"/>
      <c r="W34" s="453"/>
      <c r="X34" s="452"/>
      <c r="Y34" s="453"/>
      <c r="Z34" s="453"/>
      <c r="AA34" s="453"/>
      <c r="AB34" s="453"/>
      <c r="AC34" s="453"/>
      <c r="AD34" s="440"/>
      <c r="AE34" s="435"/>
      <c r="AF34" s="435"/>
      <c r="AG34" s="435"/>
      <c r="AH34" s="435"/>
      <c r="AI34" s="435"/>
      <c r="AJ34" s="442"/>
      <c r="AK34" s="443"/>
      <c r="AL34" s="443"/>
      <c r="AM34" s="443"/>
      <c r="AN34" s="443"/>
      <c r="AO34" s="444"/>
      <c r="AP34" s="69"/>
      <c r="AQ34" s="407"/>
      <c r="AR34" s="408"/>
      <c r="AS34" s="408"/>
      <c r="AT34" s="408"/>
      <c r="AU34" s="408"/>
      <c r="AV34" s="40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81"/>
      <c r="E35" s="381"/>
      <c r="F35" s="382"/>
      <c r="G35" s="419" t="s">
        <v>113</v>
      </c>
      <c r="H35" s="420"/>
      <c r="I35" s="420"/>
      <c r="J35" s="420"/>
      <c r="K35" s="420"/>
      <c r="L35" s="464" t="str">
        <f>IF(AND('Mapa final'!$S$15="Baja",'Mapa final'!$W$15="Leve"),CONCATENATE("R",'Mapa final'!$A$15),"")</f>
        <v/>
      </c>
      <c r="M35" s="465"/>
      <c r="N35" s="465" t="str">
        <f>IF(AND('Mapa final'!$N$16="Baja",'Mapa final'!$R$16="Leve"),CONCATENATE("R",'Mapa final'!$A$16),"")</f>
        <v/>
      </c>
      <c r="O35" s="465"/>
      <c r="P35" s="465" t="str">
        <f>IF(AND('Mapa final'!$N$17="Baja",'Mapa final'!$R$17="Leve"),CONCATENATE("R",'Mapa final'!$A$17),"")</f>
        <v/>
      </c>
      <c r="Q35" s="466"/>
      <c r="R35" s="455" t="str">
        <f>IF(AND('Mapa final'!$S$15="Baja",'Mapa final'!$W$15="Menor"),CONCATENATE("R",'Mapa final'!$A$15),"")</f>
        <v/>
      </c>
      <c r="S35" s="456"/>
      <c r="T35" s="438" t="str">
        <f>IF(AND('Mapa final'!$S$16="Baja",'Mapa final'!$W$16="Menor"),CONCATENATE("R",'Mapa final'!$A$16),"")</f>
        <v/>
      </c>
      <c r="U35" s="438"/>
      <c r="V35" s="438" t="str">
        <f>IF(AND('Mapa final'!$S$17="Baja",'Mapa final'!$W$17="Menor"),CONCATENATE("R",'Mapa final'!$A$17),"")</f>
        <v/>
      </c>
      <c r="W35" s="451"/>
      <c r="X35" s="437" t="str">
        <f>IF(AND('Mapa final'!$S$15="Baja",'Mapa final'!$W$15="Moderado"),CONCATENATE("R",'Mapa final'!$A$15),"")</f>
        <v/>
      </c>
      <c r="Y35" s="438"/>
      <c r="Z35" s="438" t="str">
        <f>IF(AND('Mapa final'!S$16="Baja",'Mapa final'!$W$16="Moderado"),CONCATENATE("R",'Mapa final'!$A$16),"")</f>
        <v/>
      </c>
      <c r="AA35" s="438"/>
      <c r="AB35" s="438" t="str">
        <f>IF(AND('Mapa final'!$S$17="Baja",'Mapa final'!$W$17="Moderado"),CONCATENATE("R",'Mapa final'!$A$17),"")</f>
        <v/>
      </c>
      <c r="AC35" s="451"/>
      <c r="AD35" s="429" t="str">
        <f>IF(AND('Mapa final'!$S$15="Baja",'Mapa final'!$W$15="Mayor"),CONCATENATE("R",'Mapa final'!$A$15),"")</f>
        <v/>
      </c>
      <c r="AE35" s="426"/>
      <c r="AF35" s="426" t="str">
        <f>IF(AND('Mapa final'!$S$16="Baja",'Mapa final'!$W$16="Mayor"),CONCATENATE("R",'Mapa final'!$A$16),"")</f>
        <v/>
      </c>
      <c r="AG35" s="426"/>
      <c r="AH35" s="426" t="str">
        <f>IF(AND('Mapa final'!$S$17="Baja",'Mapa final'!$W$17="Mayor"),CONCATENATE("R",'Mapa final'!$A$17),"")</f>
        <v/>
      </c>
      <c r="AI35" s="426"/>
      <c r="AJ35" s="445" t="str">
        <f>IF(AND('Mapa final'!$S$15="Baja",'Mapa final'!$W$15="Catastrófico"),CONCATENATE("R",'Mapa final'!$A$15),"")</f>
        <v/>
      </c>
      <c r="AK35" s="446"/>
      <c r="AL35" s="446" t="str">
        <f>IF(AND('Mapa final'!$S$16="Baja",'Mapa final'!$W$16="Catastrófico"),CONCATENATE("R",'Mapa final'!$A$16),"")</f>
        <v/>
      </c>
      <c r="AM35" s="446"/>
      <c r="AN35" s="446" t="str">
        <f>IF(AND('Mapa final'!$S$17="Baja",'Mapa final'!$W$17="Catastrófico"),CONCATENATE("R",'Mapa final'!$A$17),"")</f>
        <v/>
      </c>
      <c r="AO35" s="447"/>
      <c r="AP35" s="69"/>
      <c r="AQ35" s="410" t="s">
        <v>81</v>
      </c>
      <c r="AR35" s="411"/>
      <c r="AS35" s="411"/>
      <c r="AT35" s="411"/>
      <c r="AU35" s="411"/>
      <c r="AV35" s="412"/>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81"/>
      <c r="E36" s="381"/>
      <c r="F36" s="382"/>
      <c r="G36" s="421"/>
      <c r="H36" s="422"/>
      <c r="I36" s="422"/>
      <c r="J36" s="422"/>
      <c r="K36" s="422"/>
      <c r="L36" s="460"/>
      <c r="M36" s="458"/>
      <c r="N36" s="458"/>
      <c r="O36" s="458"/>
      <c r="P36" s="458"/>
      <c r="Q36" s="459"/>
      <c r="R36" s="437"/>
      <c r="S36" s="438"/>
      <c r="T36" s="438"/>
      <c r="U36" s="438"/>
      <c r="V36" s="438"/>
      <c r="W36" s="451"/>
      <c r="X36" s="437"/>
      <c r="Y36" s="438"/>
      <c r="Z36" s="438"/>
      <c r="AA36" s="438"/>
      <c r="AB36" s="438"/>
      <c r="AC36" s="451"/>
      <c r="AD36" s="429"/>
      <c r="AE36" s="426"/>
      <c r="AF36" s="426"/>
      <c r="AG36" s="426"/>
      <c r="AH36" s="426"/>
      <c r="AI36" s="426"/>
      <c r="AJ36" s="442"/>
      <c r="AK36" s="443"/>
      <c r="AL36" s="443"/>
      <c r="AM36" s="443"/>
      <c r="AN36" s="443"/>
      <c r="AO36" s="444"/>
      <c r="AP36" s="69"/>
      <c r="AQ36" s="413"/>
      <c r="AR36" s="414"/>
      <c r="AS36" s="414"/>
      <c r="AT36" s="414"/>
      <c r="AU36" s="414"/>
      <c r="AV36" s="415"/>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81"/>
      <c r="E37" s="381"/>
      <c r="F37" s="382"/>
      <c r="G37" s="421"/>
      <c r="H37" s="422"/>
      <c r="I37" s="422"/>
      <c r="J37" s="422"/>
      <c r="K37" s="422"/>
      <c r="L37" s="460" t="str">
        <f>IF(AND('Mapa final'!$S$18="Baja",'Mapa final'!$W$18="Leve"),CONCATENATE("R",'Mapa final'!$A$18),"")</f>
        <v/>
      </c>
      <c r="M37" s="458"/>
      <c r="N37" s="458" t="str">
        <f>IF(AND('Mapa final'!$N$20="Baja",'Mapa final'!$R$20="Leve"),CONCATENATE("R",'Mapa final'!$A$20),"")</f>
        <v/>
      </c>
      <c r="O37" s="458"/>
      <c r="P37" s="458" t="str">
        <f>IF(AND('Mapa final'!$N$21="Baja",'Mapa final'!$R$21="Leve"),CONCATENATE("R",'Mapa final'!$A$21),"")</f>
        <v/>
      </c>
      <c r="Q37" s="459"/>
      <c r="R37" s="437" t="str">
        <f>IF(AND('Mapa final'!$S$18="Baja",'Mapa final'!$W$18="Menor"),CONCATENATE("R",'Mapa final'!$A$18),"")</f>
        <v/>
      </c>
      <c r="S37" s="438"/>
      <c r="T37" s="438" t="str">
        <f>IF(AND('Mapa final'!$S$20="Baja",'Mapa final'!$W$20="Menor"),CONCATENATE("R",'Mapa final'!$A$20),"")</f>
        <v/>
      </c>
      <c r="U37" s="438"/>
      <c r="V37" s="438" t="str">
        <f>IF(AND('Mapa final'!$S$21="Baja",'Mapa final'!$W$21="Menor"),CONCATENATE("R",'Mapa final'!$A$21),"")</f>
        <v/>
      </c>
      <c r="W37" s="451"/>
      <c r="X37" s="437" t="str">
        <f>IF(AND('Mapa final'!$S$18="Baja",'Mapa final'!$W$18="Moderado"),CONCATENATE("R",'Mapa final'!$A$18),"")</f>
        <v/>
      </c>
      <c r="Y37" s="438"/>
      <c r="Z37" s="438" t="str">
        <f>IF(AND('Mapa final'!$S$20="Baja",'Mapa final'!$W$20="Moderado"),CONCATENATE("R",'Mapa final'!$A$20),"")</f>
        <v/>
      </c>
      <c r="AA37" s="438"/>
      <c r="AB37" s="438" t="str">
        <f>IF(AND('Mapa final'!$S$21="Baja",'Mapa final'!$W$21="Moderado"),CONCATENATE("R",'Mapa final'!$A$21),"")</f>
        <v/>
      </c>
      <c r="AC37" s="451"/>
      <c r="AD37" s="429" t="str">
        <f>IF(AND('Mapa final'!$S$18="Baja",'Mapa final'!$W$18="Mayor"),CONCATENATE("R",'Mapa final'!$A$18),"")</f>
        <v/>
      </c>
      <c r="AE37" s="426"/>
      <c r="AF37" s="426" t="str">
        <f>IF(AND('Mapa final'!$S$20="Baja",'Mapa final'!$W$20="Mayor"),CONCATENATE("R",'Mapa final'!$A$20),"")</f>
        <v/>
      </c>
      <c r="AG37" s="426"/>
      <c r="AH37" s="426" t="str">
        <f>IF(AND('Mapa final'!$S$21="Baja",'Mapa final'!$W$21="Mayor"),CONCATENATE("R",'Mapa final'!$A$21),"")</f>
        <v/>
      </c>
      <c r="AI37" s="426"/>
      <c r="AJ37" s="442" t="str">
        <f>IF(AND('Mapa final'!$S$18="Baja",'Mapa final'!$W$18="Catastrófico"),CONCATENATE("R",'Mapa final'!$A$18),"")</f>
        <v/>
      </c>
      <c r="AK37" s="443"/>
      <c r="AL37" s="443" t="str">
        <f>IF(AND('Mapa final'!$S$20="Baja",'Mapa final'!$W$20="Catastrófico"),CONCATENATE("R",'Mapa final'!$A$20),"")</f>
        <v/>
      </c>
      <c r="AM37" s="443"/>
      <c r="AN37" s="443" t="str">
        <f>IF(AND('Mapa final'!$S$21="Baja",'Mapa final'!$N$21="Catastrófico"),CONCATENATE("R",'Mapa final'!$A$21),"")</f>
        <v/>
      </c>
      <c r="AO37" s="444"/>
      <c r="AP37" s="69"/>
      <c r="AQ37" s="413"/>
      <c r="AR37" s="414"/>
      <c r="AS37" s="414"/>
      <c r="AT37" s="414"/>
      <c r="AU37" s="414"/>
      <c r="AV37" s="415"/>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81"/>
      <c r="E38" s="381"/>
      <c r="F38" s="382"/>
      <c r="G38" s="421"/>
      <c r="H38" s="422"/>
      <c r="I38" s="422"/>
      <c r="J38" s="422"/>
      <c r="K38" s="422"/>
      <c r="L38" s="460"/>
      <c r="M38" s="458"/>
      <c r="N38" s="458"/>
      <c r="O38" s="458"/>
      <c r="P38" s="458"/>
      <c r="Q38" s="459"/>
      <c r="R38" s="437"/>
      <c r="S38" s="438"/>
      <c r="T38" s="438"/>
      <c r="U38" s="438"/>
      <c r="V38" s="438"/>
      <c r="W38" s="451"/>
      <c r="X38" s="437"/>
      <c r="Y38" s="438"/>
      <c r="Z38" s="438"/>
      <c r="AA38" s="438"/>
      <c r="AB38" s="438"/>
      <c r="AC38" s="451"/>
      <c r="AD38" s="429"/>
      <c r="AE38" s="426"/>
      <c r="AF38" s="426"/>
      <c r="AG38" s="426"/>
      <c r="AH38" s="426"/>
      <c r="AI38" s="426"/>
      <c r="AJ38" s="442"/>
      <c r="AK38" s="443"/>
      <c r="AL38" s="443"/>
      <c r="AM38" s="443"/>
      <c r="AN38" s="443"/>
      <c r="AO38" s="444"/>
      <c r="AP38" s="69"/>
      <c r="AQ38" s="413"/>
      <c r="AR38" s="414"/>
      <c r="AS38" s="414"/>
      <c r="AT38" s="414"/>
      <c r="AU38" s="414"/>
      <c r="AV38" s="415"/>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81"/>
      <c r="E39" s="381"/>
      <c r="F39" s="382"/>
      <c r="G39" s="421"/>
      <c r="H39" s="422"/>
      <c r="I39" s="422"/>
      <c r="J39" s="422"/>
      <c r="K39" s="422"/>
      <c r="L39" s="460" t="str">
        <f>IF(AND('Mapa final'!$S$24="Baja",'Mapa final'!$W$24="Leve"),CONCATENATE("R",'Mapa final'!$A$24),"")</f>
        <v/>
      </c>
      <c r="M39" s="458"/>
      <c r="N39" s="458" t="str">
        <f>IF(AND('Mapa final'!$N$25="Baja",'Mapa final'!$R$25="Leve"),CONCATENATE("R",'Mapa final'!$A$25),"")</f>
        <v/>
      </c>
      <c r="O39" s="458"/>
      <c r="P39" s="458" t="str">
        <f>IF(AND('Mapa final'!$N$26="Baja",'Mapa final'!$R$26="Leve"),CONCATENATE("R",'Mapa final'!$A$26),"")</f>
        <v/>
      </c>
      <c r="Q39" s="459"/>
      <c r="R39" s="437" t="str">
        <f>IF(AND('Mapa final'!$S$24="Baja",'Mapa final'!$W$24="Menor"),CONCATENATE("R",'Mapa final'!$A$24),"")</f>
        <v/>
      </c>
      <c r="S39" s="438"/>
      <c r="T39" s="438" t="str">
        <f>IF(AND('Mapa final'!$LU$25="Baja",'Mapa final'!$W$25="Menor"),CONCATENATE("R",'Mapa final'!$A$25),"")</f>
        <v/>
      </c>
      <c r="U39" s="438"/>
      <c r="V39" s="438" t="str">
        <f>IF(AND('Mapa final'!$S$26="Baja",'Mapa final'!$W$26="Menor"),CONCATENATE("R",'Mapa final'!$A$26),"")</f>
        <v/>
      </c>
      <c r="W39" s="451"/>
      <c r="X39" s="437" t="str">
        <f>IF(AND('Mapa final'!$S$24="Baja",'Mapa final'!$W$24="Moderado"),CONCATENATE("R",'Mapa final'!$A$24),"")</f>
        <v/>
      </c>
      <c r="Y39" s="438"/>
      <c r="Z39" s="438" t="str">
        <f>IF(AND('Mapa final'!$S$25="Baja",'Mapa final'!$W$25="Moderado"),CONCATENATE("R",'Mapa final'!$A$25),"")</f>
        <v/>
      </c>
      <c r="AA39" s="438"/>
      <c r="AB39" s="438" t="str">
        <f>IF(AND('Mapa final'!$S$26="Baja",'Mapa final'!$W$26="Moderado"),CONCATENATE("R",'Mapa final'!$A$26),"")</f>
        <v/>
      </c>
      <c r="AC39" s="451"/>
      <c r="AD39" s="429" t="str">
        <f>IF(AND('Mapa final'!$S$24="Baja",'Mapa final'!$W$24="Mayor"),CONCATENATE("R",'Mapa final'!$A$24),"")</f>
        <v/>
      </c>
      <c r="AE39" s="426"/>
      <c r="AF39" s="426" t="str">
        <f>IF(AND('Mapa final'!$S$25="Baja",'Mapa final'!$W$25="Mayor"),CONCATENATE("R",'Mapa final'!$A$25),"")</f>
        <v/>
      </c>
      <c r="AG39" s="426"/>
      <c r="AH39" s="426" t="str">
        <f>IF(AND('Mapa final'!$S$26="Baja",'Mapa final'!$W$26="Mayor"),CONCATENATE("R",'Mapa final'!$A$26),"")</f>
        <v/>
      </c>
      <c r="AI39" s="426"/>
      <c r="AJ39" s="442" t="str">
        <f>IF(AND('Mapa final'!$S$24="Baja",'Mapa final'!$W$24="Catastrófico"),CONCATENATE("R",'Mapa final'!$A$24),"")</f>
        <v/>
      </c>
      <c r="AK39" s="443"/>
      <c r="AL39" s="443" t="str">
        <f>IF(AND('Mapa final'!$S$25="Baja",'Mapa final'!$W$25="Catastrófico"),CONCATENATE("R",'Mapa final'!$A$25),"")</f>
        <v/>
      </c>
      <c r="AM39" s="443"/>
      <c r="AN39" s="443" t="str">
        <f>IF(AND('Mapa final'!$S$26="Baja",'Mapa final'!$W$26="Catastrófico"),CONCATENATE("R",'Mapa final'!$A$26),"")</f>
        <v/>
      </c>
      <c r="AO39" s="444"/>
      <c r="AP39" s="69"/>
      <c r="AQ39" s="413"/>
      <c r="AR39" s="414"/>
      <c r="AS39" s="414"/>
      <c r="AT39" s="414"/>
      <c r="AU39" s="414"/>
      <c r="AV39" s="415"/>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81"/>
      <c r="E40" s="381"/>
      <c r="F40" s="382"/>
      <c r="G40" s="421"/>
      <c r="H40" s="422"/>
      <c r="I40" s="422"/>
      <c r="J40" s="422"/>
      <c r="K40" s="422"/>
      <c r="L40" s="460"/>
      <c r="M40" s="458"/>
      <c r="N40" s="458"/>
      <c r="O40" s="458"/>
      <c r="P40" s="458"/>
      <c r="Q40" s="459"/>
      <c r="R40" s="437"/>
      <c r="S40" s="438"/>
      <c r="T40" s="438"/>
      <c r="U40" s="438"/>
      <c r="V40" s="438"/>
      <c r="W40" s="451"/>
      <c r="X40" s="437"/>
      <c r="Y40" s="438"/>
      <c r="Z40" s="438"/>
      <c r="AA40" s="438"/>
      <c r="AB40" s="438"/>
      <c r="AC40" s="451"/>
      <c r="AD40" s="429"/>
      <c r="AE40" s="426"/>
      <c r="AF40" s="426"/>
      <c r="AG40" s="426"/>
      <c r="AH40" s="426"/>
      <c r="AI40" s="426"/>
      <c r="AJ40" s="442"/>
      <c r="AK40" s="443"/>
      <c r="AL40" s="443"/>
      <c r="AM40" s="443"/>
      <c r="AN40" s="443"/>
      <c r="AO40" s="444"/>
      <c r="AP40" s="69"/>
      <c r="AQ40" s="413"/>
      <c r="AR40" s="414"/>
      <c r="AS40" s="414"/>
      <c r="AT40" s="414"/>
      <c r="AU40" s="414"/>
      <c r="AV40" s="415"/>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81"/>
      <c r="E41" s="381"/>
      <c r="F41" s="382"/>
      <c r="G41" s="421"/>
      <c r="H41" s="422"/>
      <c r="I41" s="422"/>
      <c r="J41" s="422"/>
      <c r="K41" s="422"/>
      <c r="L41" s="460" t="str">
        <f>IF(AND('Mapa final'!$S$27="Baja",'Mapa final'!$W$27="Leve"),CONCATENATE("R",'Mapa final'!$A$27),"")</f>
        <v/>
      </c>
      <c r="M41" s="458"/>
      <c r="N41" s="458" t="str">
        <f>IF(AND('Mapa final'!$N$28="Baja",'Mapa final'!$R$28="Leve"),CONCATENATE("R",'Mapa final'!$A$28),"")</f>
        <v/>
      </c>
      <c r="O41" s="458"/>
      <c r="P41" s="458" t="str">
        <f>IF(AND('Mapa final'!$N$29="Baja",'Mapa final'!$R$29="Leve"),CONCATENATE("R",'Mapa final'!$A$29),"")</f>
        <v/>
      </c>
      <c r="Q41" s="459"/>
      <c r="R41" s="437" t="str">
        <f>IF(AND('Mapa final'!$S$27="Baja",'Mapa final'!$W$27="Menor"),CONCATENATE("R",'Mapa final'!$A$27),"")</f>
        <v/>
      </c>
      <c r="S41" s="438"/>
      <c r="T41" s="438" t="str">
        <f>IF(AND('Mapa final'!$S$28="Baja",'Mapa final'!$W$28="Menor"),CONCATENATE("R",'Mapa final'!$A$28),"")</f>
        <v/>
      </c>
      <c r="U41" s="438"/>
      <c r="V41" s="438" t="str">
        <f>IF(AND('Mapa final'!$S$29="Baja",'Mapa final'!$W$29="Menor"),CONCATENATE("R",'Mapa final'!$A$29),"")</f>
        <v/>
      </c>
      <c r="W41" s="451"/>
      <c r="X41" s="437" t="str">
        <f>IF(AND('Mapa final'!$S$27="Baja",'Mapa final'!$W$27="Moderado"),CONCATENATE("R",'Mapa final'!$A$27),"")</f>
        <v/>
      </c>
      <c r="Y41" s="438"/>
      <c r="Z41" s="438" t="str">
        <f>IF(AND('Mapa final'!$S$28="Baja",'Mapa final'!$W$28="Moderado"),CONCATENATE("R",'Mapa final'!$A$28),"")</f>
        <v/>
      </c>
      <c r="AA41" s="438"/>
      <c r="AB41" s="438" t="str">
        <f>IF(AND('Mapa final'!$S$29="Baja",'Mapa final'!$W$29="Moderado"),CONCATENATE("R",'Mapa final'!$A$29),"")</f>
        <v/>
      </c>
      <c r="AC41" s="451"/>
      <c r="AD41" s="429" t="str">
        <f>IF(AND('Mapa final'!$S$27="Baja",'Mapa final'!$W$27="Mayor"),CONCATENATE("R",'Mapa final'!$A$27),"")</f>
        <v/>
      </c>
      <c r="AE41" s="426"/>
      <c r="AF41" s="426" t="str">
        <f>IF(AND('Mapa final'!$S$28="Baja",'Mapa final'!$W$28="Mayor"),CONCATENATE("R",'Mapa final'!$A$28),"")</f>
        <v/>
      </c>
      <c r="AG41" s="426"/>
      <c r="AH41" s="426" t="str">
        <f>IF(AND('Mapa final'!$S$29="Baja",'Mapa final'!$W$29="Mayor"),CONCATENATE("R",'Mapa final'!$A$29),"")</f>
        <v/>
      </c>
      <c r="AI41" s="426"/>
      <c r="AJ41" s="442" t="str">
        <f>IF(AND('Mapa final'!$S$27="Baja",'Mapa final'!$W$27="Catastrófico"),CONCATENATE("R",'Mapa final'!$A$27),"")</f>
        <v/>
      </c>
      <c r="AK41" s="443"/>
      <c r="AL41" s="443" t="str">
        <f>IF(AND('Mapa final'!$S$28="Baja",'Mapa final'!$W$28="Catastrófico"),CONCATENATE("R",'Mapa final'!$A$28),"")</f>
        <v/>
      </c>
      <c r="AM41" s="443"/>
      <c r="AN41" s="443" t="str">
        <f>IF(AND('Mapa final'!$S$29="Baja",'Mapa final'!$W$29="Catastrófico"),CONCATENATE("R",'Mapa final'!$A$29),"")</f>
        <v/>
      </c>
      <c r="AO41" s="444"/>
      <c r="AP41" s="69"/>
      <c r="AQ41" s="413"/>
      <c r="AR41" s="414"/>
      <c r="AS41" s="414"/>
      <c r="AT41" s="414"/>
      <c r="AU41" s="414"/>
      <c r="AV41" s="415"/>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81"/>
      <c r="E42" s="381"/>
      <c r="F42" s="382"/>
      <c r="G42" s="423"/>
      <c r="H42" s="424"/>
      <c r="I42" s="424"/>
      <c r="J42" s="424"/>
      <c r="K42" s="424"/>
      <c r="L42" s="461"/>
      <c r="M42" s="462"/>
      <c r="N42" s="462"/>
      <c r="O42" s="462"/>
      <c r="P42" s="462"/>
      <c r="Q42" s="463"/>
      <c r="R42" s="452"/>
      <c r="S42" s="453"/>
      <c r="T42" s="453"/>
      <c r="U42" s="453"/>
      <c r="V42" s="453"/>
      <c r="W42" s="454"/>
      <c r="X42" s="452"/>
      <c r="Y42" s="453"/>
      <c r="Z42" s="453"/>
      <c r="AA42" s="453"/>
      <c r="AB42" s="453"/>
      <c r="AC42" s="454"/>
      <c r="AD42" s="440"/>
      <c r="AE42" s="435"/>
      <c r="AF42" s="435"/>
      <c r="AG42" s="435"/>
      <c r="AH42" s="435"/>
      <c r="AI42" s="435"/>
      <c r="AJ42" s="448"/>
      <c r="AK42" s="449"/>
      <c r="AL42" s="449"/>
      <c r="AM42" s="449"/>
      <c r="AN42" s="449"/>
      <c r="AO42" s="450"/>
      <c r="AP42" s="69"/>
      <c r="AQ42" s="416"/>
      <c r="AR42" s="417"/>
      <c r="AS42" s="417"/>
      <c r="AT42" s="417"/>
      <c r="AU42" s="417"/>
      <c r="AV42" s="418"/>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81"/>
      <c r="E43" s="381"/>
      <c r="F43" s="382"/>
      <c r="G43" s="419" t="s">
        <v>112</v>
      </c>
      <c r="H43" s="420"/>
      <c r="I43" s="420"/>
      <c r="J43" s="420"/>
      <c r="K43" s="420"/>
      <c r="L43" s="464" t="str">
        <f>IF(AND('Mapa final'!$S$15="Muy Baja",'Mapa final'!$W$15="Leve"),CONCATENATE("R",'Mapa final'!$A$15),"")</f>
        <v/>
      </c>
      <c r="M43" s="465"/>
      <c r="N43" s="465" t="str">
        <f>IF(AND('Mapa final'!$N$16="Muy Baja",'Mapa final'!$R$16="Leve"),CONCATENATE("R",'Mapa final'!$A$16),"")</f>
        <v/>
      </c>
      <c r="O43" s="465"/>
      <c r="P43" s="465" t="str">
        <f>IF(AND('Mapa final'!$N$17="Muy Baja",'Mapa final'!$R$17="Leve"),CONCATENATE("R",'Mapa final'!$A$17),"")</f>
        <v/>
      </c>
      <c r="Q43" s="466"/>
      <c r="R43" s="464" t="str">
        <f>IF(AND('Mapa final'!$S$15="Muy Baja",'Mapa final'!$W$15="Menor"),CONCATENATE("R",'Mapa final'!$A$15),"")</f>
        <v/>
      </c>
      <c r="S43" s="465"/>
      <c r="T43" s="465" t="str">
        <f>IF(AND('Mapa final'!$S$16="Muy Baja",'Mapa final'!$W$16="Menor"),CONCATENATE("R",'Mapa final'!$A$16),"")</f>
        <v/>
      </c>
      <c r="U43" s="465"/>
      <c r="V43" s="465" t="str">
        <f>IF(AND('Mapa final'!$S$17="Muy Baja",'Mapa final'!$W$17="Menor"),CONCATENATE("R",'Mapa final'!$A$17),"")</f>
        <v/>
      </c>
      <c r="W43" s="466"/>
      <c r="X43" s="455" t="str">
        <f>IF(AND('Mapa final'!$S$15="Muy Baja",'Mapa final'!$W$15="Moderado"),CONCATENATE("R",'Mapa final'!$A$15),"")</f>
        <v/>
      </c>
      <c r="Y43" s="456"/>
      <c r="Z43" s="456" t="str">
        <f>IF(AND('Mapa final'!S$16="Muy Baja",'Mapa final'!$W$16="Moderado"),CONCATENATE("R",'Mapa final'!$A$16),"")</f>
        <v/>
      </c>
      <c r="AA43" s="456"/>
      <c r="AB43" s="456" t="str">
        <f>IF(AND('Mapa final'!$S$17="Muy Baja",'Mapa final'!$W$17="Moderado"),CONCATENATE("R",'Mapa final'!$A$17),"")</f>
        <v/>
      </c>
      <c r="AC43" s="457"/>
      <c r="AD43" s="427" t="str">
        <f>IF(AND('Mapa final'!$S$15="Muy Baja",'Mapa final'!$W$15="Mayor"),CONCATENATE("R",'Mapa final'!$A$15),"")</f>
        <v/>
      </c>
      <c r="AE43" s="428"/>
      <c r="AF43" s="428" t="str">
        <f>IF(AND('Mapa final'!$S$16="Muy Baja",'Mapa final'!$W$16="Mayor"),CONCATENATE("R",'Mapa final'!$A$16),"")</f>
        <v/>
      </c>
      <c r="AG43" s="428"/>
      <c r="AH43" s="428" t="str">
        <f>IF(AND('Mapa final'!$S$17="Muy Baja",'Mapa final'!$W$17="Mayor"),CONCATENATE("R",'Mapa final'!$A$17),"")</f>
        <v/>
      </c>
      <c r="AI43" s="441"/>
      <c r="AJ43" s="442" t="str">
        <f>IF(AND('Mapa final'!$S$15="Muy Baja",'Mapa final'!$W$15="Catastrófico"),CONCATENATE("R",'Mapa final'!$A$15),"")</f>
        <v/>
      </c>
      <c r="AK43" s="443"/>
      <c r="AL43" s="443" t="str">
        <f>IF(AND('Mapa final'!$S$16="Muy Baja",'Mapa final'!$W$16="Catastrófico"),CONCATENATE("R",'Mapa final'!$A$16),"")</f>
        <v/>
      </c>
      <c r="AM43" s="443"/>
      <c r="AN43" s="443" t="str">
        <f>IF(AND('Mapa final'!$S$17="Muy Baja",'Mapa final'!$W$17="Catastrófico"),CONCATENATE("R",'Mapa final'!$A$17),"")</f>
        <v/>
      </c>
      <c r="AO43" s="444"/>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81"/>
      <c r="E44" s="381"/>
      <c r="F44" s="382"/>
      <c r="G44" s="421"/>
      <c r="H44" s="422"/>
      <c r="I44" s="422"/>
      <c r="J44" s="422"/>
      <c r="K44" s="422"/>
      <c r="L44" s="460"/>
      <c r="M44" s="458"/>
      <c r="N44" s="458"/>
      <c r="O44" s="458"/>
      <c r="P44" s="458"/>
      <c r="Q44" s="459"/>
      <c r="R44" s="460"/>
      <c r="S44" s="458"/>
      <c r="T44" s="458"/>
      <c r="U44" s="458"/>
      <c r="V44" s="458"/>
      <c r="W44" s="459"/>
      <c r="X44" s="437"/>
      <c r="Y44" s="438"/>
      <c r="Z44" s="438"/>
      <c r="AA44" s="438"/>
      <c r="AB44" s="438"/>
      <c r="AC44" s="451"/>
      <c r="AD44" s="429"/>
      <c r="AE44" s="426"/>
      <c r="AF44" s="426"/>
      <c r="AG44" s="426"/>
      <c r="AH44" s="426"/>
      <c r="AI44" s="434"/>
      <c r="AJ44" s="442"/>
      <c r="AK44" s="443"/>
      <c r="AL44" s="443"/>
      <c r="AM44" s="443"/>
      <c r="AN44" s="443"/>
      <c r="AO44" s="444"/>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81"/>
      <c r="E45" s="381"/>
      <c r="F45" s="382"/>
      <c r="G45" s="421"/>
      <c r="H45" s="422"/>
      <c r="I45" s="422"/>
      <c r="J45" s="422"/>
      <c r="K45" s="422"/>
      <c r="L45" s="460" t="str">
        <f>IF(AND('Mapa final'!$S$18="Muy Baja",'Mapa final'!$W$18="Leve"),CONCATENATE("R",'Mapa final'!$A$18),"")</f>
        <v/>
      </c>
      <c r="M45" s="458"/>
      <c r="N45" s="458" t="str">
        <f>IF(AND('Mapa final'!$N$20="Muy Baja",'Mapa final'!$R$20="Leve"),CONCATENATE("R",'Mapa final'!$A$20),"")</f>
        <v/>
      </c>
      <c r="O45" s="458"/>
      <c r="P45" s="458" t="str">
        <f>IF(AND('Mapa final'!$N$21="Muy Baja",'Mapa final'!$R$21="Leve"),CONCATENATE("R",'Mapa final'!$A$21),"")</f>
        <v/>
      </c>
      <c r="Q45" s="459"/>
      <c r="R45" s="460" t="str">
        <f>IF(AND('Mapa final'!$S$18="Muy Baja",'Mapa final'!$W$18="Menor"),CONCATENATE("R",'Mapa final'!$A$18),"")</f>
        <v/>
      </c>
      <c r="S45" s="458"/>
      <c r="T45" s="458" t="str">
        <f>IF(AND('Mapa final'!$S$20="Muy Baja",'Mapa final'!$W$20="Menor"),CONCATENATE("R",'Mapa final'!$A$20),"")</f>
        <v/>
      </c>
      <c r="U45" s="458"/>
      <c r="V45" s="458" t="str">
        <f>IF(AND('Mapa final'!$S$21="Muy Baja",'Mapa final'!$W$21="Menor"),CONCATENATE("R",'Mapa final'!$A$21),"")</f>
        <v/>
      </c>
      <c r="W45" s="459"/>
      <c r="X45" s="437" t="str">
        <f>IF(AND('Mapa final'!$S$18="Muy Baja",'Mapa final'!$W$18="Moderado"),CONCATENATE("R",'Mapa final'!$A$18),"")</f>
        <v/>
      </c>
      <c r="Y45" s="438"/>
      <c r="Z45" s="438" t="str">
        <f>IF(AND('Mapa final'!$S$20="Muy Baja",'Mapa final'!$W$20="Moderado"),CONCATENATE("R",'Mapa final'!$A$20),"")</f>
        <v/>
      </c>
      <c r="AA45" s="438"/>
      <c r="AB45" s="438" t="str">
        <f>IF(AND('Mapa final'!$S$21="Muy Baja",'Mapa final'!$W$21="Moderado"),CONCATENATE("R",'Mapa final'!$A$21),"")</f>
        <v/>
      </c>
      <c r="AC45" s="451"/>
      <c r="AD45" s="429" t="str">
        <f>IF(AND('Mapa final'!$S$18="Muy Baja",'Mapa final'!$W$18="Mayor"),CONCATENATE("R",'Mapa final'!$A$18),"")</f>
        <v/>
      </c>
      <c r="AE45" s="426"/>
      <c r="AF45" s="426" t="str">
        <f>IF(AND('Mapa final'!$S$20="Muy Baja",'Mapa final'!$W$20="Mayor"),CONCATENATE("R",'Mapa final'!$A$20),"")</f>
        <v/>
      </c>
      <c r="AG45" s="426"/>
      <c r="AH45" s="426" t="str">
        <f>IF(AND('Mapa final'!$S$21="Muy Baja",'Mapa final'!$W$21="Mayor"),CONCATENATE("R",'Mapa final'!$A$21),"")</f>
        <v/>
      </c>
      <c r="AI45" s="434"/>
      <c r="AJ45" s="442" t="str">
        <f>IF(AND('Mapa final'!$S$18="Muy Baja",'Mapa final'!$W$18="Catastrófico"),CONCATENATE("R",'Mapa final'!$A$18),"")</f>
        <v/>
      </c>
      <c r="AK45" s="443"/>
      <c r="AL45" s="443" t="str">
        <f>IF(AND('Mapa final'!$S$20="Muy Baja",'Mapa final'!$W$20="Catastrófico"),CONCATENATE("R",'Mapa final'!$A$20),"")</f>
        <v/>
      </c>
      <c r="AM45" s="443"/>
      <c r="AN45" s="443" t="str">
        <f>IF(AND('Mapa final'!$S$21="Muy Baja",'Mapa final'!$N$21="Catastrófico"),CONCATENATE("R",'Mapa final'!$A$21),"")</f>
        <v/>
      </c>
      <c r="AO45" s="444"/>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81"/>
      <c r="E46" s="381"/>
      <c r="F46" s="382"/>
      <c r="G46" s="421"/>
      <c r="H46" s="422"/>
      <c r="I46" s="422"/>
      <c r="J46" s="422"/>
      <c r="K46" s="422"/>
      <c r="L46" s="460"/>
      <c r="M46" s="458"/>
      <c r="N46" s="458"/>
      <c r="O46" s="458"/>
      <c r="P46" s="458"/>
      <c r="Q46" s="459"/>
      <c r="R46" s="460"/>
      <c r="S46" s="458"/>
      <c r="T46" s="458"/>
      <c r="U46" s="458"/>
      <c r="V46" s="458"/>
      <c r="W46" s="459"/>
      <c r="X46" s="437"/>
      <c r="Y46" s="438"/>
      <c r="Z46" s="438"/>
      <c r="AA46" s="438"/>
      <c r="AB46" s="438"/>
      <c r="AC46" s="451"/>
      <c r="AD46" s="429"/>
      <c r="AE46" s="426"/>
      <c r="AF46" s="426"/>
      <c r="AG46" s="426"/>
      <c r="AH46" s="426"/>
      <c r="AI46" s="434"/>
      <c r="AJ46" s="442"/>
      <c r="AK46" s="443"/>
      <c r="AL46" s="443"/>
      <c r="AM46" s="443"/>
      <c r="AN46" s="443"/>
      <c r="AO46" s="444"/>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81"/>
      <c r="E47" s="381"/>
      <c r="F47" s="382"/>
      <c r="G47" s="421"/>
      <c r="H47" s="422"/>
      <c r="I47" s="422"/>
      <c r="J47" s="422"/>
      <c r="K47" s="422"/>
      <c r="L47" s="460" t="str">
        <f>IF(AND('Mapa final'!$S$24="Muy Baja",'Mapa final'!$W$24="Leve"),CONCATENATE("R",'Mapa final'!$A$24),"")</f>
        <v/>
      </c>
      <c r="M47" s="458"/>
      <c r="N47" s="458" t="str">
        <f>IF(AND('Mapa final'!$N$25="Muy Baja",'Mapa final'!$R$25="Leve"),CONCATENATE("R",'Mapa final'!$A$25),"")</f>
        <v/>
      </c>
      <c r="O47" s="458"/>
      <c r="P47" s="458" t="str">
        <f>IF(AND('Mapa final'!$N$26="Muy Baja",'Mapa final'!$R$26="Leve"),CONCATENATE("R",'Mapa final'!$A$26),"")</f>
        <v/>
      </c>
      <c r="Q47" s="459"/>
      <c r="R47" s="460" t="str">
        <f>IF(AND('Mapa final'!$S$24="Muy Baja",'Mapa final'!$W$24="Menor"),CONCATENATE("R",'Mapa final'!$A$24),"")</f>
        <v/>
      </c>
      <c r="S47" s="458"/>
      <c r="T47" s="458" t="str">
        <f>IF(AND('Mapa final'!$LU$25="Muy Baja",'Mapa final'!$W$25="Menor"),CONCATENATE("R",'Mapa final'!$A$25),"")</f>
        <v/>
      </c>
      <c r="U47" s="458"/>
      <c r="V47" s="458" t="str">
        <f>IF(AND('Mapa final'!$S$26="Muy Baja",'Mapa final'!$W$26="Menor"),CONCATENATE("R",'Mapa final'!$A$26),"")</f>
        <v/>
      </c>
      <c r="W47" s="459"/>
      <c r="X47" s="437" t="str">
        <f>IF(AND('Mapa final'!$S$24="Muy Baja",'Mapa final'!$W$24="Moderado"),CONCATENATE("R",'Mapa final'!$A$24),"")</f>
        <v/>
      </c>
      <c r="Y47" s="438"/>
      <c r="Z47" s="438" t="str">
        <f>IF(AND('Mapa final'!$S$25="Muy Baja",'Mapa final'!$W$25="Moderado"),CONCATENATE("R",'Mapa final'!$A$25),"")</f>
        <v/>
      </c>
      <c r="AA47" s="438"/>
      <c r="AB47" s="438" t="str">
        <f>IF(AND('Mapa final'!$S$26="Muy Baja",'Mapa final'!$W$26="Moderado"),CONCATENATE("R",'Mapa final'!$A$26),"")</f>
        <v/>
      </c>
      <c r="AC47" s="451"/>
      <c r="AD47" s="429" t="str">
        <f>IF(AND('Mapa final'!$S$24="Muy Baja",'Mapa final'!$W$24="Mayor"),CONCATENATE("R",'Mapa final'!$A$24),"")</f>
        <v/>
      </c>
      <c r="AE47" s="426"/>
      <c r="AF47" s="426" t="str">
        <f>IF(AND('Mapa final'!$S$25="Muy Baja",'Mapa final'!$W$25="Mayor"),CONCATENATE("R",'Mapa final'!$A$25),"")</f>
        <v/>
      </c>
      <c r="AG47" s="426"/>
      <c r="AH47" s="426" t="str">
        <f>IF(AND('Mapa final'!$S$26="Muy Baja",'Mapa final'!$W$26="Mayor"),CONCATENATE("R",'Mapa final'!$A$26),"")</f>
        <v/>
      </c>
      <c r="AI47" s="434"/>
      <c r="AJ47" s="442" t="str">
        <f>IF(AND('Mapa final'!$S$24="Muy Baja",'Mapa final'!$W$24="Catastrófico"),CONCATENATE("R",'Mapa final'!$A$24),"")</f>
        <v/>
      </c>
      <c r="AK47" s="443"/>
      <c r="AL47" s="443" t="str">
        <f>IF(AND('Mapa final'!$S$25="Muy Baja",'Mapa final'!$W$25="Catastrófico"),CONCATENATE("R",'Mapa final'!$A$25),"")</f>
        <v/>
      </c>
      <c r="AM47" s="443"/>
      <c r="AN47" s="443" t="str">
        <f>IF(AND('Mapa final'!$S$26="Muy Baja",'Mapa final'!$W$26="Catastrófico"),CONCATENATE("R",'Mapa final'!$A$26),"")</f>
        <v/>
      </c>
      <c r="AO47" s="444"/>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81"/>
      <c r="E48" s="381"/>
      <c r="F48" s="382"/>
      <c r="G48" s="421"/>
      <c r="H48" s="422"/>
      <c r="I48" s="422"/>
      <c r="J48" s="422"/>
      <c r="K48" s="422"/>
      <c r="L48" s="460"/>
      <c r="M48" s="458"/>
      <c r="N48" s="458"/>
      <c r="O48" s="458"/>
      <c r="P48" s="458"/>
      <c r="Q48" s="459"/>
      <c r="R48" s="460"/>
      <c r="S48" s="458"/>
      <c r="T48" s="458"/>
      <c r="U48" s="458"/>
      <c r="V48" s="458"/>
      <c r="W48" s="459"/>
      <c r="X48" s="437"/>
      <c r="Y48" s="438"/>
      <c r="Z48" s="438"/>
      <c r="AA48" s="438"/>
      <c r="AB48" s="438"/>
      <c r="AC48" s="451"/>
      <c r="AD48" s="429"/>
      <c r="AE48" s="426"/>
      <c r="AF48" s="426"/>
      <c r="AG48" s="426"/>
      <c r="AH48" s="426"/>
      <c r="AI48" s="434"/>
      <c r="AJ48" s="442"/>
      <c r="AK48" s="443"/>
      <c r="AL48" s="443"/>
      <c r="AM48" s="443"/>
      <c r="AN48" s="443"/>
      <c r="AO48" s="444"/>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81"/>
      <c r="E49" s="381"/>
      <c r="F49" s="382"/>
      <c r="G49" s="421"/>
      <c r="H49" s="422"/>
      <c r="I49" s="422"/>
      <c r="J49" s="422"/>
      <c r="K49" s="422"/>
      <c r="L49" s="460" t="str">
        <f>IF(AND('Mapa final'!$S$27="Muy Baja",'Mapa final'!$W$27="Leve"),CONCATENATE("R",'Mapa final'!$A$27),"")</f>
        <v/>
      </c>
      <c r="M49" s="458"/>
      <c r="N49" s="458" t="str">
        <f>IF(AND('Mapa final'!$N$28="Muy Baja",'Mapa final'!$R$28="Leve"),CONCATENATE("R",'Mapa final'!$A$28),"")</f>
        <v/>
      </c>
      <c r="O49" s="458"/>
      <c r="P49" s="458" t="str">
        <f>IF(AND('Mapa final'!$N$29="Muy Baja",'Mapa final'!$R$29="Leve"),CONCATENATE("R",'Mapa final'!$A$29),"")</f>
        <v/>
      </c>
      <c r="Q49" s="459"/>
      <c r="R49" s="458" t="str">
        <f>IF(AND('Mapa final'!$S$27="Muy Baja",'Mapa final'!$W$27="Menor"),CONCATENATE("R",'Mapa final'!$A$27),"")</f>
        <v/>
      </c>
      <c r="S49" s="458"/>
      <c r="T49" s="458" t="str">
        <f>IF(AND('Mapa final'!$S$28="Muy Baja",'Mapa final'!$W$28="Menor"),CONCATENATE("R",'Mapa final'!$A$28),"")</f>
        <v/>
      </c>
      <c r="U49" s="458"/>
      <c r="V49" s="458" t="str">
        <f>IF(AND('Mapa final'!$S$29="Muy Baja",'Mapa final'!$W$29="Menor"),CONCATENATE("R",'Mapa final'!$A$29),"")</f>
        <v/>
      </c>
      <c r="W49" s="459"/>
      <c r="X49" s="437" t="str">
        <f>IF(AND('Mapa final'!$S$27="Muy Baja",'Mapa final'!$W$27="Moderado"),CONCATENATE("R",'Mapa final'!$A$27),"")</f>
        <v/>
      </c>
      <c r="Y49" s="438"/>
      <c r="Z49" s="438" t="str">
        <f>IF(AND('Mapa final'!$S$28="Muy Baja",'Mapa final'!$W$28="Moderado"),CONCATENATE("R",'Mapa final'!$A$28),"")</f>
        <v/>
      </c>
      <c r="AA49" s="438"/>
      <c r="AB49" s="438" t="str">
        <f>IF(AND('Mapa final'!$S$29="Muy Baja",'Mapa final'!$W$29="Moderado"),CONCATENATE("R",'Mapa final'!$A$29),"")</f>
        <v/>
      </c>
      <c r="AC49" s="451"/>
      <c r="AD49" s="429" t="str">
        <f>IF(AND('Mapa final'!$S$27="Muy Baja",'Mapa final'!$W$27="Mayor"),CONCATENATE("R",'Mapa final'!$A$27),"")</f>
        <v/>
      </c>
      <c r="AE49" s="426"/>
      <c r="AF49" s="426" t="str">
        <f>IF(AND('Mapa final'!$S$28="Muy Baja",'Mapa final'!$W$28="Mayor"),CONCATENATE("R",'Mapa final'!$A$28),"")</f>
        <v/>
      </c>
      <c r="AG49" s="426"/>
      <c r="AH49" s="426" t="str">
        <f>IF(AND('Mapa final'!$S$29="Muy Baja",'Mapa final'!$W$29="Mayor"),CONCATENATE("R",'Mapa final'!$A$29),"")</f>
        <v/>
      </c>
      <c r="AI49" s="434"/>
      <c r="AJ49" s="442" t="str">
        <f>IF(AND('Mapa final'!$S$27="Muy Baja",'Mapa final'!$W$27="Catastrófico"),CONCATENATE("R",'Mapa final'!$A$27),"")</f>
        <v/>
      </c>
      <c r="AK49" s="443"/>
      <c r="AL49" s="443" t="str">
        <f>IF(AND('Mapa final'!$S$28="Muy Baja",'Mapa final'!$W$28="Catastrófico"),CONCATENATE("R",'Mapa final'!$A$28),"")</f>
        <v/>
      </c>
      <c r="AM49" s="443"/>
      <c r="AN49" s="443" t="str">
        <f>IF(AND('Mapa final'!$S$29="Muy Baja",'Mapa final'!$W$29="Catastrófico"),CONCATENATE("R",'Mapa final'!$A$29),"")</f>
        <v/>
      </c>
      <c r="AO49" s="444"/>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81"/>
      <c r="E50" s="381"/>
      <c r="F50" s="382"/>
      <c r="G50" s="423"/>
      <c r="H50" s="424"/>
      <c r="I50" s="424"/>
      <c r="J50" s="424"/>
      <c r="K50" s="424"/>
      <c r="L50" s="461"/>
      <c r="M50" s="462"/>
      <c r="N50" s="462"/>
      <c r="O50" s="462"/>
      <c r="P50" s="462"/>
      <c r="Q50" s="463"/>
      <c r="R50" s="462"/>
      <c r="S50" s="462"/>
      <c r="T50" s="462"/>
      <c r="U50" s="462"/>
      <c r="V50" s="462"/>
      <c r="W50" s="463"/>
      <c r="X50" s="452"/>
      <c r="Y50" s="453"/>
      <c r="Z50" s="453"/>
      <c r="AA50" s="453"/>
      <c r="AB50" s="453"/>
      <c r="AC50" s="454"/>
      <c r="AD50" s="440"/>
      <c r="AE50" s="435"/>
      <c r="AF50" s="435"/>
      <c r="AG50" s="435"/>
      <c r="AH50" s="435"/>
      <c r="AI50" s="436"/>
      <c r="AJ50" s="448"/>
      <c r="AK50" s="449"/>
      <c r="AL50" s="449"/>
      <c r="AM50" s="449"/>
      <c r="AN50" s="449"/>
      <c r="AO50" s="45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30" t="s">
        <v>111</v>
      </c>
      <c r="M51" s="422"/>
      <c r="N51" s="422"/>
      <c r="O51" s="422"/>
      <c r="P51" s="422"/>
      <c r="Q51" s="431"/>
      <c r="R51" s="419" t="s">
        <v>110</v>
      </c>
      <c r="S51" s="420"/>
      <c r="T51" s="420"/>
      <c r="U51" s="420"/>
      <c r="V51" s="420"/>
      <c r="W51" s="433"/>
      <c r="X51" s="419" t="s">
        <v>109</v>
      </c>
      <c r="Y51" s="420"/>
      <c r="Z51" s="420"/>
      <c r="AA51" s="420"/>
      <c r="AB51" s="420"/>
      <c r="AC51" s="433"/>
      <c r="AD51" s="419" t="s">
        <v>108</v>
      </c>
      <c r="AE51" s="439"/>
      <c r="AF51" s="420"/>
      <c r="AG51" s="420"/>
      <c r="AH51" s="420"/>
      <c r="AI51" s="433"/>
      <c r="AJ51" s="419" t="s">
        <v>107</v>
      </c>
      <c r="AK51" s="420"/>
      <c r="AL51" s="420"/>
      <c r="AM51" s="420"/>
      <c r="AN51" s="420"/>
      <c r="AO51" s="433"/>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21"/>
      <c r="M52" s="422"/>
      <c r="N52" s="422"/>
      <c r="O52" s="422"/>
      <c r="P52" s="422"/>
      <c r="Q52" s="431"/>
      <c r="R52" s="421"/>
      <c r="S52" s="422"/>
      <c r="T52" s="422"/>
      <c r="U52" s="422"/>
      <c r="V52" s="422"/>
      <c r="W52" s="431"/>
      <c r="X52" s="421"/>
      <c r="Y52" s="422"/>
      <c r="Z52" s="422"/>
      <c r="AA52" s="422"/>
      <c r="AB52" s="422"/>
      <c r="AC52" s="431"/>
      <c r="AD52" s="421"/>
      <c r="AE52" s="422"/>
      <c r="AF52" s="422"/>
      <c r="AG52" s="422"/>
      <c r="AH52" s="422"/>
      <c r="AI52" s="431"/>
      <c r="AJ52" s="421"/>
      <c r="AK52" s="422"/>
      <c r="AL52" s="422"/>
      <c r="AM52" s="422"/>
      <c r="AN52" s="422"/>
      <c r="AO52" s="431"/>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21"/>
      <c r="M53" s="422"/>
      <c r="N53" s="422"/>
      <c r="O53" s="422"/>
      <c r="P53" s="422"/>
      <c r="Q53" s="431"/>
      <c r="R53" s="421"/>
      <c r="S53" s="422"/>
      <c r="T53" s="422"/>
      <c r="U53" s="422"/>
      <c r="V53" s="422"/>
      <c r="W53" s="431"/>
      <c r="X53" s="421"/>
      <c r="Y53" s="422"/>
      <c r="Z53" s="422"/>
      <c r="AA53" s="422"/>
      <c r="AB53" s="422"/>
      <c r="AC53" s="431"/>
      <c r="AD53" s="421"/>
      <c r="AE53" s="422"/>
      <c r="AF53" s="422"/>
      <c r="AG53" s="422"/>
      <c r="AH53" s="422"/>
      <c r="AI53" s="431"/>
      <c r="AJ53" s="421"/>
      <c r="AK53" s="422"/>
      <c r="AL53" s="422"/>
      <c r="AM53" s="422"/>
      <c r="AN53" s="422"/>
      <c r="AO53" s="431"/>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21"/>
      <c r="M54" s="422"/>
      <c r="N54" s="422"/>
      <c r="O54" s="422"/>
      <c r="P54" s="422"/>
      <c r="Q54" s="431"/>
      <c r="R54" s="421"/>
      <c r="S54" s="422"/>
      <c r="T54" s="422"/>
      <c r="U54" s="422"/>
      <c r="V54" s="422"/>
      <c r="W54" s="431"/>
      <c r="X54" s="421"/>
      <c r="Y54" s="422"/>
      <c r="Z54" s="422"/>
      <c r="AA54" s="422"/>
      <c r="AB54" s="422"/>
      <c r="AC54" s="431"/>
      <c r="AD54" s="421"/>
      <c r="AE54" s="422"/>
      <c r="AF54" s="422"/>
      <c r="AG54" s="422"/>
      <c r="AH54" s="422"/>
      <c r="AI54" s="431"/>
      <c r="AJ54" s="421"/>
      <c r="AK54" s="422"/>
      <c r="AL54" s="422"/>
      <c r="AM54" s="422"/>
      <c r="AN54" s="422"/>
      <c r="AO54" s="431"/>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21"/>
      <c r="M55" s="422"/>
      <c r="N55" s="422"/>
      <c r="O55" s="422"/>
      <c r="P55" s="422"/>
      <c r="Q55" s="431"/>
      <c r="R55" s="421"/>
      <c r="S55" s="422"/>
      <c r="T55" s="422"/>
      <c r="U55" s="422"/>
      <c r="V55" s="422"/>
      <c r="W55" s="431"/>
      <c r="X55" s="421"/>
      <c r="Y55" s="422"/>
      <c r="Z55" s="422"/>
      <c r="AA55" s="422"/>
      <c r="AB55" s="422"/>
      <c r="AC55" s="431"/>
      <c r="AD55" s="421"/>
      <c r="AE55" s="422"/>
      <c r="AF55" s="422"/>
      <c r="AG55" s="422"/>
      <c r="AH55" s="422"/>
      <c r="AI55" s="431"/>
      <c r="AJ55" s="421"/>
      <c r="AK55" s="422"/>
      <c r="AL55" s="422"/>
      <c r="AM55" s="422"/>
      <c r="AN55" s="422"/>
      <c r="AO55" s="431"/>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23"/>
      <c r="M56" s="424"/>
      <c r="N56" s="424"/>
      <c r="O56" s="424"/>
      <c r="P56" s="424"/>
      <c r="Q56" s="432"/>
      <c r="R56" s="423"/>
      <c r="S56" s="424"/>
      <c r="T56" s="424"/>
      <c r="U56" s="424"/>
      <c r="V56" s="424"/>
      <c r="W56" s="432"/>
      <c r="X56" s="423"/>
      <c r="Y56" s="424"/>
      <c r="Z56" s="424"/>
      <c r="AA56" s="424"/>
      <c r="AB56" s="424"/>
      <c r="AC56" s="432"/>
      <c r="AD56" s="423"/>
      <c r="AE56" s="424"/>
      <c r="AF56" s="424"/>
      <c r="AG56" s="424"/>
      <c r="AH56" s="424"/>
      <c r="AI56" s="432"/>
      <c r="AJ56" s="423"/>
      <c r="AK56" s="424"/>
      <c r="AL56" s="424"/>
      <c r="AM56" s="424"/>
      <c r="AN56" s="424"/>
      <c r="AO56" s="432"/>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1" width="5.7109375" customWidth="1"/>
    <col min="12" max="12" width="16.28515625" customWidth="1"/>
    <col min="13" max="16" width="5.7109375" customWidth="1"/>
    <col min="17" max="17" width="10.42578125" customWidth="1"/>
    <col min="18" max="19" width="5.7109375" customWidth="1"/>
    <col min="20" max="20" width="6.7109375" customWidth="1"/>
    <col min="21" max="24" width="5.7109375" customWidth="1"/>
    <col min="25" max="25" width="8.42578125" customWidth="1"/>
    <col min="26" max="26" width="10.28515625" customWidth="1"/>
    <col min="27" max="27" width="11.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72" t="s">
        <v>251</v>
      </c>
      <c r="D2" s="373"/>
      <c r="E2" s="373"/>
      <c r="F2" s="373"/>
      <c r="G2" s="373"/>
      <c r="H2" s="373"/>
      <c r="I2" s="373"/>
      <c r="J2" s="374"/>
      <c r="K2" s="363" t="s">
        <v>205</v>
      </c>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5"/>
      <c r="AO2" s="285" t="s">
        <v>377</v>
      </c>
      <c r="AP2" s="360"/>
      <c r="AQ2" s="360"/>
      <c r="AR2" s="360"/>
      <c r="AS2" s="360"/>
      <c r="AT2" s="360"/>
      <c r="AU2" s="258"/>
    </row>
    <row r="3" spans="1:92" x14ac:dyDescent="0.25">
      <c r="C3" s="375"/>
      <c r="D3" s="376"/>
      <c r="E3" s="376"/>
      <c r="F3" s="376"/>
      <c r="G3" s="376"/>
      <c r="H3" s="376"/>
      <c r="I3" s="376"/>
      <c r="J3" s="377"/>
      <c r="K3" s="366"/>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8"/>
      <c r="AO3" s="286" t="s">
        <v>264</v>
      </c>
      <c r="AP3" s="361"/>
      <c r="AQ3" s="361"/>
      <c r="AR3" s="361"/>
      <c r="AS3" s="361"/>
      <c r="AT3" s="361"/>
      <c r="AU3" s="260"/>
    </row>
    <row r="4" spans="1:92" x14ac:dyDescent="0.25">
      <c r="C4" s="375"/>
      <c r="D4" s="376"/>
      <c r="E4" s="376"/>
      <c r="F4" s="376"/>
      <c r="G4" s="376"/>
      <c r="H4" s="376"/>
      <c r="I4" s="376"/>
      <c r="J4" s="377"/>
      <c r="K4" s="366"/>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8"/>
      <c r="AO4" s="286" t="s">
        <v>389</v>
      </c>
      <c r="AP4" s="361" t="s">
        <v>263</v>
      </c>
      <c r="AQ4" s="361"/>
      <c r="AR4" s="361"/>
      <c r="AS4" s="361"/>
      <c r="AT4" s="361"/>
      <c r="AU4" s="260"/>
    </row>
    <row r="5" spans="1:92" ht="15.75" thickBot="1" x14ac:dyDescent="0.3">
      <c r="C5" s="378"/>
      <c r="D5" s="379"/>
      <c r="E5" s="379"/>
      <c r="F5" s="379"/>
      <c r="G5" s="379"/>
      <c r="H5" s="379"/>
      <c r="I5" s="379"/>
      <c r="J5" s="380"/>
      <c r="K5" s="369"/>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1"/>
      <c r="AO5" s="287" t="s">
        <v>245</v>
      </c>
      <c r="AP5" s="362" t="s">
        <v>245</v>
      </c>
      <c r="AQ5" s="362"/>
      <c r="AR5" s="362"/>
      <c r="AS5" s="362"/>
      <c r="AT5" s="362"/>
      <c r="AU5" s="262"/>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17" t="s">
        <v>266</v>
      </c>
      <c r="B8" s="517"/>
      <c r="C8" s="496" t="s">
        <v>156</v>
      </c>
      <c r="D8" s="497"/>
      <c r="E8" s="497"/>
      <c r="F8" s="497"/>
      <c r="G8" s="497"/>
      <c r="H8" s="497"/>
      <c r="I8" s="497"/>
      <c r="J8" s="497"/>
      <c r="K8" s="498" t="s">
        <v>2</v>
      </c>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97"/>
      <c r="D9" s="497"/>
      <c r="E9" s="497"/>
      <c r="F9" s="497"/>
      <c r="G9" s="497"/>
      <c r="H9" s="497"/>
      <c r="I9" s="497"/>
      <c r="J9" s="497"/>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97"/>
      <c r="D10" s="497"/>
      <c r="E10" s="497"/>
      <c r="F10" s="497"/>
      <c r="G10" s="497"/>
      <c r="H10" s="497"/>
      <c r="I10" s="497"/>
      <c r="J10" s="497"/>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81" t="s">
        <v>4</v>
      </c>
      <c r="D12" s="381"/>
      <c r="E12" s="382"/>
      <c r="F12" s="468" t="s">
        <v>115</v>
      </c>
      <c r="G12" s="469"/>
      <c r="H12" s="469"/>
      <c r="I12" s="469"/>
      <c r="J12" s="469"/>
      <c r="K12" s="32" t="str">
        <f>IF(AND('Mapa final'!$AL$15="Muy Alta",'Mapa final'!$AN$15="Leve"),CONCATENATE("R2C",'Mapa final'!$U$15),"")</f>
        <v/>
      </c>
      <c r="L12" s="33" t="str">
        <f>IF(AND('Mapa final'!$AL$16="Muy Alta",'Mapa final'!$AN$16="Leve"),CONCATENATE("R2C",'Mapa final'!$U$16),"")</f>
        <v/>
      </c>
      <c r="M12" s="33" t="str">
        <f>IF(AND('Mapa final'!$AL$17="Muy Alta",'Mapa final'!$AN$17="Leve"),CONCATENATE("R2C",'Mapa final'!$U$17),"")</f>
        <v/>
      </c>
      <c r="N12" s="33" t="str">
        <f>IF(AND('Mapa final'!$AL$18="Muy Alta",'Mapa final'!$AN$18="Leve"),CONCATENATE("R2C",'Mapa final'!$U$18),"")</f>
        <v/>
      </c>
      <c r="O12" s="33" t="str">
        <f>IF(AND('Mapa final'!$AL$20="Muy Alta",'Mapa final'!$AN$20="Leve"),CONCATENATE("R2C",'Mapa final'!$U$20),"")</f>
        <v/>
      </c>
      <c r="P12" s="34" t="str">
        <f>IF(AND('Mapa final'!$AL$21="Muy Alta",'Mapa final'!$AN$21="Leve"),CONCATENATE("R2C",'Mapa final'!$U$21),"")</f>
        <v/>
      </c>
      <c r="Q12" s="33" t="str">
        <f>IF(AND('Mapa final'!$AL$15="Muy Alta",'Mapa final'!$AN$15="Menor"),CONCATENATE("R2C",'Mapa final'!$U$15),"")</f>
        <v/>
      </c>
      <c r="R12" s="33" t="str">
        <f>IF(AND('Mapa final'!$AL$16="Muy Alta",'Mapa final'!$AN$16="Menore"),CONCATENATE("R2C",'Mapa final'!$U$16),"")</f>
        <v/>
      </c>
      <c r="S12" s="33" t="str">
        <f>IF(AND('Mapa final'!$AL$17="Muy Alta",'Mapa final'!$AN$17="Menor"),CONCATENATE("R2C",'Mapa final'!$U$17),"")</f>
        <v/>
      </c>
      <c r="T12" s="33" t="str">
        <f>IF(AND('Mapa final'!$AL$18="Muy Alta",'Mapa final'!$AN$18="Menor"),CONCATENATE("R2C",'Mapa final'!$U$18),"")</f>
        <v/>
      </c>
      <c r="U12" s="33" t="str">
        <f>IF(AND('Mapa final'!$AL$20="Muy Alta",'Mapa final'!$AN$20="Menor"),CONCATENATE("R2C",'Mapa final'!$U$20),"")</f>
        <v/>
      </c>
      <c r="V12" s="34" t="str">
        <f>IF(AND('Mapa final'!$AL$21="Muy Alta",'Mapa final'!$AN$21="Menor"),CONCATENATE("R2C",'Mapa final'!$U$21),"")</f>
        <v/>
      </c>
      <c r="W12" s="32" t="str">
        <f>IF(AND('Mapa final'!$AL$15="Muy Alta",'Mapa final'!$AN$15="Moderado"),CONCATENATE("R2C",'Mapa final'!$U$15),"")</f>
        <v/>
      </c>
      <c r="X12" s="33" t="str">
        <f>IF(AND('Mapa final'!$AL$16="Muy Alta",'Mapa final'!$AN$16="Moderado"),CONCATENATE("R2C",'Mapa final'!$U$16),"")</f>
        <v/>
      </c>
      <c r="Y12" s="33"/>
      <c r="Z12" s="33" t="str">
        <f>IF(AND('Mapa final'!$AL$18="Muy Alta",'Mapa final'!$AN$18="Moderado"),CONCATENATE("R2C",'Mapa final'!$U$18),"")</f>
        <v/>
      </c>
      <c r="AA12" s="33" t="str">
        <f>IF(AND('Mapa final'!$AL$20="Muy Alta",'Mapa final'!$AN$20="Moderado"),CONCATENATE("R2C",'Mapa final'!$U$20),"")</f>
        <v/>
      </c>
      <c r="AB12" s="34" t="str">
        <f>IF(AND('Mapa final'!$AL$21="Muy Alta",'Mapa final'!$AN$21="Moderado"),CONCATENATE("R2C",'Mapa final'!$U$21),"")</f>
        <v/>
      </c>
      <c r="AC12" s="32" t="str">
        <f>IF(AND('Mapa final'!$AL$15="Muy Alta",'Mapa final'!$AN$15="Mayor"),CONCATENATE("R2C",'Mapa final'!$U$15),"")</f>
        <v/>
      </c>
      <c r="AD12" s="33" t="str">
        <f>IF(AND('Mapa final'!$AL$16="Muy Alta",'Mapa final'!$AN$16="Mayor"),CONCATENATE("R2C",'Mapa final'!$U$16),"")</f>
        <v/>
      </c>
      <c r="AE12" s="33" t="str">
        <f>IF(AND('Mapa final'!$AL$17="Muy Alta",'Mapa final'!$AN$17="Mayor"),CONCATENATE("R2C",'Mapa final'!$U$17),"")</f>
        <v/>
      </c>
      <c r="AF12" s="33" t="str">
        <f>IF(AND('Mapa final'!$AL$18="Muy Alta",'Mapa final'!$AN$18="Mayor"),CONCATENATE("R2C",'Mapa final'!$U$18),"")</f>
        <v/>
      </c>
      <c r="AG12" s="33" t="str">
        <f>IF(AND('Mapa final'!$AL$20="Muy Alta",'Mapa final'!$AN$20="Mayor"),CONCATENATE("R2C",'Mapa final'!$U$20),"")</f>
        <v/>
      </c>
      <c r="AH12" s="34" t="str">
        <f>IF(AND('Mapa final'!$AL$21="Muy Alta",'Mapa final'!$AN$21="Mayor"),CONCATENATE("R2C",'Mapa final'!$U$21),"")</f>
        <v/>
      </c>
      <c r="AI12" s="35" t="str">
        <f>IF(AND('Mapa final'!$AL$15="Muy Alta",'Mapa final'!$AN$15="Catastrófico"),CONCATENATE("R2C",'Mapa final'!$U$15),"")</f>
        <v/>
      </c>
      <c r="AJ12" s="36" t="str">
        <f>IF(AND('Mapa final'!$AL$16="Muy Alta",'Mapa final'!$AN$16="Catastrófico"),CONCATENATE("R2C",'Mapa final'!$U$16),"")</f>
        <v/>
      </c>
      <c r="AK12" s="36" t="str">
        <f>IF(AND('Mapa final'!$AL$17="Muy Alta",'Mapa final'!$AN$17="Catastrófico"),CONCATENATE("R2C",'Mapa final'!$U$17),"")</f>
        <v/>
      </c>
      <c r="AL12" s="36" t="str">
        <f>IF(AND('Mapa final'!$AL$18="Muy Alta",'Mapa final'!$AN$18="Catastrófico"),CONCATENATE("R2C",'Mapa final'!$U$18),"")</f>
        <v/>
      </c>
      <c r="AM12" s="36" t="str">
        <f>IF(AND('Mapa final'!$AL$20="Muy Alta",'Mapa final'!$AN$20="Catastrófico"),CONCATENATE("R2C",'Mapa final'!$U$20),"")</f>
        <v/>
      </c>
      <c r="AN12" s="37" t="str">
        <f>IF(AND('Mapa final'!$AL$21="Muy Alta",'Mapa final'!$AN$21="Catastrófico"),CONCATENATE("R2C",'Mapa final'!$U$21),"")</f>
        <v/>
      </c>
      <c r="AO12" s="69"/>
      <c r="AP12" s="487" t="s">
        <v>78</v>
      </c>
      <c r="AQ12" s="488"/>
      <c r="AR12" s="488"/>
      <c r="AS12" s="488"/>
      <c r="AT12" s="488"/>
      <c r="AU12" s="48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81"/>
      <c r="D13" s="381"/>
      <c r="E13" s="382"/>
      <c r="F13" s="471"/>
      <c r="G13" s="472"/>
      <c r="H13" s="472"/>
      <c r="I13" s="472"/>
      <c r="J13" s="472"/>
      <c r="K13" s="38" t="str">
        <f>IF(AND('Mapa final'!$AL$24="Muy Alta",'Mapa final'!$AN$24="Leve"),CONCATENATE("R2C",'Mapa final'!$U$24),"")</f>
        <v/>
      </c>
      <c r="L13" s="39" t="str">
        <f>IF(AND('Mapa final'!$AL$25="Muy Alta",'Mapa final'!$AN$25="Leve"),CONCATENATE("R2C",'Mapa final'!$U$25),"")</f>
        <v/>
      </c>
      <c r="M13" s="39" t="str">
        <f>IF(AND('Mapa final'!$AL$26="Muy Alta",'Mapa final'!$AN$26="Leve"),CONCATENATE("R2C",'Mapa final'!$U$26),"")</f>
        <v/>
      </c>
      <c r="N13" s="39" t="str">
        <f>IF(AND('Mapa final'!$AL$27="Muy Alta",'Mapa final'!$AN$27="Leve"),CONCATENATE("R2C",'Mapa final'!$U$27),"")</f>
        <v/>
      </c>
      <c r="O13" s="39" t="str">
        <f>IF(AND('Mapa final'!$AL$28="Muy Alta",'Mapa final'!$AN$28="Leve"),CONCATENATE("R2C",'Mapa final'!$U$28),"")</f>
        <v/>
      </c>
      <c r="P13" s="40" t="str">
        <f>IF(AND('Mapa final'!$AL$29="Muy Alta",'Mapa final'!$AN$29="Leve"),CONCATENATE("R2C",'Mapa final'!$U$29),"")</f>
        <v/>
      </c>
      <c r="Q13" s="39" t="str">
        <f>IF(AND('Mapa final'!$AL$24="Muy Alta",'Mapa final'!$AN$24="Menor"),CONCATENATE("R2C",'Mapa final'!$U$24),"")</f>
        <v/>
      </c>
      <c r="R13" s="39" t="str">
        <f>IF(AND('Mapa final'!$AL$25="Muy Alta",'Mapa final'!$AN$25="Menor"),CONCATENATE("R2C",'Mapa final'!$U$25),"")</f>
        <v/>
      </c>
      <c r="S13" s="39" t="str">
        <f>IF(AND('Mapa final'!$AL$26="Muy Alta",'Mapa final'!$AN$26="Menor"),CONCATENATE("R2C",'Mapa final'!$U$26),"")</f>
        <v/>
      </c>
      <c r="T13" s="39" t="str">
        <f>IF(AND('Mapa final'!$AL$27="Muy Alta",'Mapa final'!$AN$27="Menor"),CONCATENATE("R2C",'Mapa final'!$U$27),"")</f>
        <v/>
      </c>
      <c r="U13" s="39" t="str">
        <f>IF(AND('Mapa final'!$AL$28="Muy Alta",'Mapa final'!$AN$28="Menor"),CONCATENATE("R2C",'Mapa final'!$U$28),"")</f>
        <v/>
      </c>
      <c r="V13" s="40" t="str">
        <f>IF(AND('Mapa final'!$AL$29="Muy Alta",'Mapa final'!$AN$29="Menor"),CONCATENATE("R2C",'Mapa final'!$U$29),"")</f>
        <v/>
      </c>
      <c r="W13" s="38" t="str">
        <f>IF(AND('Mapa final'!$AL$24="Muy Alta",'Mapa final'!$AN$24="Moderado"),CONCATENATE("R2C",'Mapa final'!$U$24),"")</f>
        <v/>
      </c>
      <c r="X13" s="39" t="str">
        <f>IF(AND('Mapa final'!$AL$25="Muy Alta",'Mapa final'!$AN$25="Moderado"),CONCATENATE("R2C",'Mapa final'!$U$25),"")</f>
        <v/>
      </c>
      <c r="Y13" s="39" t="str">
        <f>IF(AND('Mapa final'!$AL$26="Muy Alta",'Mapa final'!$AN$26="Moderado"),CONCATENATE("R2C",'Mapa final'!$U$26),"")</f>
        <v/>
      </c>
      <c r="Z13" s="39" t="str">
        <f>IF(AND('Mapa final'!$AL$27="Muy Alta",'Mapa final'!$AN$27="Moderado"),CONCATENATE("R2C",'Mapa final'!$U$27),"")</f>
        <v/>
      </c>
      <c r="AA13" s="39" t="str">
        <f>IF(AND('Mapa final'!$AL$28="Muy Alta",'Mapa final'!$AN$28="Moderado"),CONCATENATE("R2C",'Mapa final'!$U$28),"")</f>
        <v/>
      </c>
      <c r="AB13" s="40" t="str">
        <f>IF(AND('Mapa final'!$AL$29="Muy Alta",'Mapa final'!$AN$29="Moderado"),CONCATENATE("R2C",'Mapa final'!$U$29),"")</f>
        <v/>
      </c>
      <c r="AC13" s="38" t="str">
        <f>IF(AND('Mapa final'!$AL$24="Muy Alta",'Mapa final'!$AN$24="Mayor"),CONCATENATE("R2C",'Mapa final'!$U$24),"")</f>
        <v/>
      </c>
      <c r="AD13" s="39" t="str">
        <f>IF(AND('Mapa final'!$AL$25="Muy Alta",'Mapa final'!$AN$25="Mayor"),CONCATENATE("R2C",'Mapa final'!$U$25),"")</f>
        <v/>
      </c>
      <c r="AE13" s="39" t="str">
        <f>IF(AND('Mapa final'!$AL$26="Muy Alta",'Mapa final'!$AN$26="Mayor"),CONCATENATE("R2C",'Mapa final'!$U$26),"")</f>
        <v/>
      </c>
      <c r="AF13" s="39" t="str">
        <f>IF(AND('Mapa final'!$AL$27="Muy Alta",'Mapa final'!$AN$27="Mayor"),CONCATENATE("R2C",'Mapa final'!$U$27),"")</f>
        <v/>
      </c>
      <c r="AG13" s="39" t="str">
        <f>IF(AND('Mapa final'!$AL$28="Muy Alta",'Mapa final'!$AN$28="Mayor"),CONCATENATE("R2C",'Mapa final'!$U$28),"")</f>
        <v/>
      </c>
      <c r="AH13" s="40" t="str">
        <f>IF(AND('Mapa final'!$AL$29="Muy Alta",'Mapa final'!$AN$29="Mayor"),CONCATENATE("R2C",'Mapa final'!$U$29),"")</f>
        <v/>
      </c>
      <c r="AI13" s="41" t="str">
        <f>IF(AND('Mapa final'!$AL$24="Muy Alta",'Mapa final'!$AN$24="Catastrófico"),CONCATENATE("R2C",'Mapa final'!$U$24),"")</f>
        <v/>
      </c>
      <c r="AJ13" s="42" t="str">
        <f>IF(AND('Mapa final'!$AL$25="Muy Alta",'Mapa final'!$AN$25="Catastrófico"),CONCATENATE("R2C",'Mapa final'!$U$25),"")</f>
        <v/>
      </c>
      <c r="AK13" s="42" t="str">
        <f>IF(AND('Mapa final'!$AL$26="Muy Alta",'Mapa final'!$AN$26="Catastrófico"),CONCATENATE("R2C",'Mapa final'!$U$26),"")</f>
        <v/>
      </c>
      <c r="AL13" s="42" t="str">
        <f>IF(AND('Mapa final'!$AL$27="Muy Alta",'Mapa final'!$AN$27="Catastrófico"),CONCATENATE("R2C",'Mapa final'!$U$27),"")</f>
        <v/>
      </c>
      <c r="AM13" s="42" t="str">
        <f>IF(AND('Mapa final'!$AL$28="Muy Alta",'Mapa final'!$AN$28="Catastrófico"),CONCATENATE("R2C",'Mapa final'!$U$28),"")</f>
        <v/>
      </c>
      <c r="AN13" s="43" t="str">
        <f>IF(AND('Mapa final'!$AL$29="Muy Alta",'Mapa final'!$AN$29="Catastrófico"),CONCATENATE("R2C",'Mapa final'!$U$29),"")</f>
        <v/>
      </c>
      <c r="AO13" s="69"/>
      <c r="AP13" s="490"/>
      <c r="AQ13" s="491"/>
      <c r="AR13" s="491"/>
      <c r="AS13" s="491"/>
      <c r="AT13" s="491"/>
      <c r="AU13" s="492"/>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81"/>
      <c r="D14" s="381"/>
      <c r="E14" s="382"/>
      <c r="F14" s="471"/>
      <c r="G14" s="472"/>
      <c r="H14" s="472"/>
      <c r="I14" s="472"/>
      <c r="J14" s="472"/>
      <c r="K14" s="38" t="str">
        <f>IF(AND('Mapa final'!$AL$30="Muy Alta",'Mapa final'!$AN$30="Leve"),CONCATENATE("R2C",'Mapa final'!$U$30),"")</f>
        <v/>
      </c>
      <c r="L14" s="39" t="str">
        <f>IF(AND('Mapa final'!$AL$31="Muy Alta",'Mapa final'!$AN$31="Leve"),CONCATENATE("R2C",'Mapa final'!$U$31),"")</f>
        <v/>
      </c>
      <c r="M14" s="39" t="str">
        <f>IF(AND('Mapa final'!$AL$32="Muy Alta",'Mapa final'!$AN$32="Leve"),CONCATENATE("R2C",'Mapa final'!$U$32),"")</f>
        <v/>
      </c>
      <c r="N14" s="39" t="str">
        <f>IF(AND('Mapa final'!$AL$33="Muy Alta",'Mapa final'!$AN$33="Leve"),CONCATENATE("R2C",'Mapa final'!$U$33),"")</f>
        <v/>
      </c>
      <c r="O14" s="39" t="str">
        <f>IF(AND('Mapa final'!$AL$34="Muy Alta",'Mapa final'!$AN$34="Leve"),CONCATENATE("R2C",'Mapa final'!$U$34),"")</f>
        <v/>
      </c>
      <c r="P14" s="40" t="str">
        <f>IF(AND('Mapa final'!$AL$35="Muy Alta",'Mapa final'!$AN$35="Leve"),CONCATENATE("R2C",'Mapa final'!$U$35),"")</f>
        <v/>
      </c>
      <c r="Q14" s="39" t="str">
        <f>IF(AND('Mapa final'!$AL$30="Muy Alta",'Mapa final'!$AN$30="Menor"),CONCATENATE("R2C",'Mapa final'!$U$30),"")</f>
        <v/>
      </c>
      <c r="R14" s="39" t="str">
        <f>IF(AND('Mapa final'!$AL$31="Muy Alta",'Mapa final'!$AN$31="Menor"),CONCATENATE("R2C",'Mapa final'!$U$31),"")</f>
        <v/>
      </c>
      <c r="S14" s="39" t="str">
        <f>IF(AND('Mapa final'!$AL$32="Muy Alta",'Mapa final'!$AN$32="Menor"),CONCATENATE("R2C",'Mapa final'!$U$32),"")</f>
        <v/>
      </c>
      <c r="T14" s="39" t="str">
        <f>IF(AND('Mapa final'!$AL$33="Muy Alta",'Mapa final'!$AN$33="Menor"),CONCATENATE("R2C",'Mapa final'!$U$33),"")</f>
        <v/>
      </c>
      <c r="U14" s="39" t="str">
        <f>IF(AND('Mapa final'!$AL$34="Muy Alta",'Mapa final'!$AN$34="Menor"),CONCATENATE("R2C",'Mapa final'!$U$34),"")</f>
        <v/>
      </c>
      <c r="V14" s="40" t="str">
        <f>IF(AND('Mapa final'!$AL$35="Muy Alta",'Mapa final'!$AN$35="Menor"),CONCATENATE("R2C",'Mapa final'!$U$35),"")</f>
        <v/>
      </c>
      <c r="W14" s="38" t="str">
        <f>IF(AND('Mapa final'!$AL$30="Muy Alta",'Mapa final'!$AN$30="Moderado"),CONCATENATE("R2C",'Mapa final'!$U$30),"")</f>
        <v/>
      </c>
      <c r="X14" s="39" t="str">
        <f>IF(AND('Mapa final'!$AL$31="Muy Alta",'Mapa final'!$AN$31="Moderado"),CONCATENATE("R2C",'Mapa final'!$U$31),"")</f>
        <v/>
      </c>
      <c r="Y14" s="39" t="str">
        <f>IF(AND('Mapa final'!$AL$32="Muy Alta",'Mapa final'!$AN$32="Moderado"),CONCATENATE("R2C",'Mapa final'!$U$32),"")</f>
        <v/>
      </c>
      <c r="Z14" s="39" t="str">
        <f>IF(AND('Mapa final'!$AL$33="Muy Alta",'Mapa final'!$AN$33="Moderado"),CONCATENATE("R2C",'Mapa final'!$U$33),"")</f>
        <v/>
      </c>
      <c r="AA14" s="39" t="str">
        <f>IF(AND('Mapa final'!$AL$34="Muy Alta",'Mapa final'!$AN$34="Moderado"),CONCATENATE("R2C",'Mapa final'!$U$34),"")</f>
        <v/>
      </c>
      <c r="AB14" s="40" t="str">
        <f>IF(AND('Mapa final'!$AL$35="Muy Alta",'Mapa final'!$AN$35="Moderado"),CONCATENATE("R2C",'Mapa final'!$U$35),"")</f>
        <v/>
      </c>
      <c r="AC14" s="38" t="str">
        <f>IF(AND('Mapa final'!$AL$30="Muy Alta",'Mapa final'!$AN$30="Mayor"),CONCATENATE("R2C",'Mapa final'!$U$30),"")</f>
        <v/>
      </c>
      <c r="AD14" s="39" t="str">
        <f>IF(AND('Mapa final'!$AL$31="Muy Alta",'Mapa final'!$AN$31="Mayor"),CONCATENATE("R2C",'Mapa final'!$U$31),"")</f>
        <v/>
      </c>
      <c r="AE14" s="39" t="str">
        <f>IF(AND('Mapa final'!$AL$32="Muy Alta",'Mapa final'!$AN$32="Mayor"),CONCATENATE("R2C",'Mapa final'!$U$32),"")</f>
        <v/>
      </c>
      <c r="AF14" s="39" t="str">
        <f>IF(AND('Mapa final'!$AL$33="Muy Alta",'Mapa final'!$AN$33="Mayor"),CONCATENATE("R2C",'Mapa final'!$U$33),"")</f>
        <v/>
      </c>
      <c r="AG14" s="39" t="str">
        <f>IF(AND('Mapa final'!$AL$34="Muy Alta",'Mapa final'!$AN$34="Mayor"),CONCATENATE("R2C",'Mapa final'!$U$34),"")</f>
        <v/>
      </c>
      <c r="AH14" s="40" t="str">
        <f>IF(AND('Mapa final'!$AL$35="Muy Alta",'Mapa final'!$AN$35="Mayor"),CONCATENATE("R2C",'Mapa final'!$U$35),"")</f>
        <v/>
      </c>
      <c r="AI14" s="41" t="str">
        <f>IF(AND('Mapa final'!$AL$30="Muy Alta",'Mapa final'!$AN$30="Catastrófico"),CONCATENATE("R2C",'Mapa final'!$U$30),"")</f>
        <v/>
      </c>
      <c r="AJ14" s="42" t="str">
        <f>IF(AND('Mapa final'!$AL$31="Muy Alta",'Mapa final'!$AN$31="Catastrófico"),CONCATENATE("R2C",'Mapa final'!$U$31),"")</f>
        <v/>
      </c>
      <c r="AK14" s="42" t="str">
        <f>IF(AND('Mapa final'!$AL$32="Muy Alta",'Mapa final'!$AN$32="Catastrófico"),CONCATENATE("R2C",'Mapa final'!$U$32),"")</f>
        <v/>
      </c>
      <c r="AL14" s="42" t="str">
        <f>IF(AND('Mapa final'!$AL$33="Muy Alta",'Mapa final'!$AN$33="Catastrófico"),CONCATENATE("R2C",'Mapa final'!$U$33),"")</f>
        <v/>
      </c>
      <c r="AM14" s="42" t="str">
        <f>IF(AND('Mapa final'!$AL$34="Muy Alta",'Mapa final'!$AN$34="Catastrófico"),CONCATENATE("R2C",'Mapa final'!$U$34),"")</f>
        <v/>
      </c>
      <c r="AN14" s="43" t="str">
        <f>IF(AND('Mapa final'!$AL$35="Muy Alta",'Mapa final'!$AN$35="Catastrófico"),CONCATENATE("R2C",'Mapa final'!$U$35),"")</f>
        <v/>
      </c>
      <c r="AO14" s="69"/>
      <c r="AP14" s="490"/>
      <c r="AQ14" s="491"/>
      <c r="AR14" s="491"/>
      <c r="AS14" s="491"/>
      <c r="AT14" s="491"/>
      <c r="AU14" s="492"/>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81"/>
      <c r="D15" s="381"/>
      <c r="E15" s="382"/>
      <c r="F15" s="471"/>
      <c r="G15" s="472"/>
      <c r="H15" s="472"/>
      <c r="I15" s="472"/>
      <c r="J15" s="472"/>
      <c r="K15" s="38" t="str">
        <f>IF(AND('Mapa final'!$AL$36="Muy Alta",'Mapa final'!$AN$36="Leve"),CONCATENATE("R2C",'Mapa final'!$U$36),"")</f>
        <v/>
      </c>
      <c r="L15" s="39" t="str">
        <f>IF(AND('Mapa final'!$AL$37="Muy Alta",'Mapa final'!$AN$37="Leve"),CONCATENATE("R2C",'Mapa final'!$U$37),"")</f>
        <v/>
      </c>
      <c r="M15" s="39" t="str">
        <f>IF(AND('Mapa final'!$AL$38="Muy Alta",'Mapa final'!$AN$38="Leve"),CONCATENATE("R2C",'Mapa final'!$U$38),"")</f>
        <v/>
      </c>
      <c r="N15" s="39" t="str">
        <f>IF(AND('Mapa final'!$AL$39="Muy Alta",'Mapa final'!$AN$39="Leve"),CONCATENATE("R2C",'Mapa final'!$U$39),"")</f>
        <v/>
      </c>
      <c r="O15" s="39" t="str">
        <f>IF(AND('Mapa final'!$AL$40="Muy Alta",'Mapa final'!$AN$40="Leve"),CONCATENATE("R2C",'Mapa final'!$U$40),"")</f>
        <v/>
      </c>
      <c r="P15" s="40" t="str">
        <f>IF(AND('Mapa final'!$AL$41="Muy Alta",'Mapa final'!$AN$41="Leve"),CONCATENATE("R2C",'Mapa final'!$U$41),"")</f>
        <v/>
      </c>
      <c r="Q15" s="39" t="str">
        <f>IF(AND('Mapa final'!$AL$36="Muy Alta",'Mapa final'!$AN$36="Menor"),CONCATENATE("R2C",'Mapa final'!$U$36),"")</f>
        <v/>
      </c>
      <c r="R15" s="39" t="str">
        <f>IF(AND('Mapa final'!$AL$37="Muy Alta",'Mapa final'!$AN$37="Menor"),CONCATENATE("R2C",'Mapa final'!$U$37),"")</f>
        <v/>
      </c>
      <c r="S15" s="39" t="str">
        <f>IF(AND('Mapa final'!$AL$38="Muy Alta",'Mapa final'!$AN$38="Menor"),CONCATENATE("R2C",'Mapa final'!$U$38),"")</f>
        <v/>
      </c>
      <c r="T15" s="39" t="str">
        <f>IF(AND('Mapa final'!$AL$39="Muy Alta",'Mapa final'!$AN$39="Menor"),CONCATENATE("R2C",'Mapa final'!$U$39),"")</f>
        <v/>
      </c>
      <c r="U15" s="39" t="str">
        <f>IF(AND('Mapa final'!$AL$40="Muy Alta",'Mapa final'!$AN$40="LMenor"),CONCATENATE("R2C",'Mapa final'!$U$40),"")</f>
        <v/>
      </c>
      <c r="V15" s="40" t="str">
        <f>IF(AND('Mapa final'!$AL$41="Muy Alta",'Mapa final'!$AN$41="Menor"),CONCATENATE("R2C",'Mapa final'!$U$41),"")</f>
        <v/>
      </c>
      <c r="W15" s="38" t="str">
        <f>IF(AND('Mapa final'!$AL$36="Muy Alta",'Mapa final'!$AN$36="Moderado"),CONCATENATE("R2C",'Mapa final'!$U$36),"")</f>
        <v/>
      </c>
      <c r="X15" s="39" t="str">
        <f>IF(AND('Mapa final'!$AL$37="Muy Alta",'Mapa final'!$AN$37="Moderado"),CONCATENATE("R2C",'Mapa final'!$U$37),"")</f>
        <v/>
      </c>
      <c r="Y15" s="39" t="str">
        <f>IF(AND('Mapa final'!$AL$38="Muy Alta",'Mapa final'!$AN$38="Moderado"),CONCATENATE("R2C",'Mapa final'!$U$38),"")</f>
        <v/>
      </c>
      <c r="Z15" s="39" t="str">
        <f>IF(AND('Mapa final'!$AL$39="Muy Alta",'Mapa final'!$AN$39="Moderado"),CONCATENATE("R2C",'Mapa final'!$U$39),"")</f>
        <v/>
      </c>
      <c r="AA15" s="39" t="str">
        <f>IF(AND('Mapa final'!$AL$40="Muy Alta",'Mapa final'!$AN$40="Moderado"),CONCATENATE("R2C",'Mapa final'!$U$40),"")</f>
        <v/>
      </c>
      <c r="AB15" s="40" t="str">
        <f>IF(AND('Mapa final'!$AL$41="Muy Alta",'Mapa final'!$AN$41="Moderado"),CONCATENATE("R2C",'Mapa final'!$U$41),"")</f>
        <v/>
      </c>
      <c r="AC15" s="38" t="str">
        <f>IF(AND('Mapa final'!$AL$36="Muy Alta",'Mapa final'!$AN$36="Mayor"),CONCATENATE("R2C",'Mapa final'!$U$36),"")</f>
        <v/>
      </c>
      <c r="AD15" s="39" t="str">
        <f>IF(AND('Mapa final'!$AL$37="Muy Alta",'Mapa final'!$AN$37="Mayor"),CONCATENATE("R2C",'Mapa final'!$U$37),"")</f>
        <v/>
      </c>
      <c r="AE15" s="39" t="str">
        <f>IF(AND('Mapa final'!$AL$38="Muy Alta",'Mapa final'!$AN$38="Mayor"),CONCATENATE("R2C",'Mapa final'!$U$38),"")</f>
        <v/>
      </c>
      <c r="AF15" s="39" t="str">
        <f>IF(AND('Mapa final'!$AL$39="Muy Alta",'Mapa final'!$AN$39="Mayor"),CONCATENATE("R2C",'Mapa final'!$U$39),"")</f>
        <v/>
      </c>
      <c r="AG15" s="39" t="str">
        <f>IF(AND('Mapa final'!$AL$40="Muy Alta",'Mapa final'!$AN$40="Mayor"),CONCATENATE("R2C",'Mapa final'!$U$40),"")</f>
        <v/>
      </c>
      <c r="AH15" s="40" t="str">
        <f>IF(AND('Mapa final'!$AL$41="Muy Alta",'Mapa final'!$AN$41="Mayor"),CONCATENATE("R2C",'Mapa final'!$U$41),"")</f>
        <v/>
      </c>
      <c r="AI15" s="41" t="str">
        <f>IF(AND('Mapa final'!$AL$36="Muy Alta",'Mapa final'!$AN$36="Catastrófico"),CONCATENATE("R2C",'Mapa final'!$U$36),"")</f>
        <v/>
      </c>
      <c r="AJ15" s="42" t="str">
        <f>IF(AND('Mapa final'!$AL$37="Muy Alta",'Mapa final'!$AN$37="Catastrófico"),CONCATENATE("R2C",'Mapa final'!$U$37),"")</f>
        <v/>
      </c>
      <c r="AK15" s="42" t="str">
        <f>IF(AND('Mapa final'!$AL$38="Muy Alta",'Mapa final'!$AN$38="Catastrófico"),CONCATENATE("R2C",'Mapa final'!$U$38),"")</f>
        <v/>
      </c>
      <c r="AL15" s="42" t="str">
        <f>IF(AND('Mapa final'!$AL$39="Muy Alta",'Mapa final'!$AN$39="Catastrófico"),CONCATENATE("R2C",'Mapa final'!$U$39),"")</f>
        <v/>
      </c>
      <c r="AM15" s="42" t="str">
        <f>IF(AND('Mapa final'!$AL$40="Muy Alta",'Mapa final'!$AN$40="LCatastrófico"),CONCATENATE("R2C",'Mapa final'!$U$40),"")</f>
        <v/>
      </c>
      <c r="AN15" s="43" t="str">
        <f>IF(AND('Mapa final'!$AL$41="Muy Alta",'Mapa final'!$AN$41="Catastrófico"),CONCATENATE("R2C",'Mapa final'!$U$41),"")</f>
        <v/>
      </c>
      <c r="AO15" s="69"/>
      <c r="AP15" s="490"/>
      <c r="AQ15" s="491"/>
      <c r="AR15" s="491"/>
      <c r="AS15" s="491"/>
      <c r="AT15" s="491"/>
      <c r="AU15" s="492"/>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81"/>
      <c r="D16" s="381"/>
      <c r="E16" s="382"/>
      <c r="F16" s="471"/>
      <c r="G16" s="472"/>
      <c r="H16" s="472"/>
      <c r="I16" s="472"/>
      <c r="J16" s="472"/>
      <c r="K16" s="38" t="str">
        <f>IF(AND('Mapa final'!$AL$42="Muy Alta",'Mapa final'!$AN$42="Leve"),CONCATENATE("R2C",'Mapa final'!$U$42),"")</f>
        <v/>
      </c>
      <c r="L16" s="39" t="str">
        <f>IF(AND('Mapa final'!$AL$43="Muy Alta",'Mapa final'!$AN$43="Leve"),CONCATENATE("R2C",'Mapa final'!$U$43),"")</f>
        <v/>
      </c>
      <c r="M16" s="39" t="str">
        <f>IF(AND('Mapa final'!$AL$44="Muy Alta",'Mapa final'!$AN$44="Leve"),CONCATENATE("R2C",'Mapa final'!$U$44),"")</f>
        <v/>
      </c>
      <c r="N16" s="39" t="str">
        <f>IF(AND('Mapa final'!$AL$45="Muy Alta",'Mapa final'!$AN$45="Leve"),CONCATENATE("R2C",'Mapa final'!$U$45),"")</f>
        <v/>
      </c>
      <c r="O16" s="39" t="str">
        <f>IF(AND('Mapa final'!$AL$46="Muy Alta",'Mapa final'!$AN$46="Leve"),CONCATENATE("R2C",'Mapa final'!$U$46),"")</f>
        <v/>
      </c>
      <c r="P16" s="40" t="str">
        <f>IF(AND('Mapa final'!$AL$47="Muy Alta",'Mapa final'!$AN$47="Leve"),CONCATENATE("R2C",'Mapa final'!$U$47),"")</f>
        <v/>
      </c>
      <c r="Q16" s="39" t="str">
        <f>IF(AND('Mapa final'!$AL$42="Muy Alta",'Mapa final'!$AN$42="Menor"),CONCATENATE("R2C",'Mapa final'!$U$42),"")</f>
        <v/>
      </c>
      <c r="R16" s="39" t="str">
        <f>IF(AND('Mapa final'!$AL$43="Muy Alta",'Mapa final'!$AN$43="Menor"),CONCATENATE("R2C",'Mapa final'!$U$43),"")</f>
        <v/>
      </c>
      <c r="S16" s="39" t="str">
        <f>IF(AND('Mapa final'!$AL$44="Muy Alta",'Mapa final'!$AN$44="Menor"),CONCATENATE("R2C",'Mapa final'!$U$44),"")</f>
        <v/>
      </c>
      <c r="T16" s="39" t="str">
        <f>IF(AND('Mapa final'!$AL$45="Muy Alta",'Mapa final'!$AN$45="Menor"),CONCATENATE("R2C",'Mapa final'!$U$45),"")</f>
        <v/>
      </c>
      <c r="U16" s="39" t="str">
        <f>IF(AND('Mapa final'!$AL$46="Muy Alta",'Mapa final'!$AN$46="Menor"),CONCATENATE("R2C",'Mapa final'!$U$46),"")</f>
        <v/>
      </c>
      <c r="V16" s="40" t="str">
        <f>IF(AND('Mapa final'!$AL$47="Muy Alta",'Mapa final'!$AN$47="Menor"),CONCATENATE("R2C",'Mapa final'!$U$47),"")</f>
        <v/>
      </c>
      <c r="W16" s="38" t="str">
        <f>IF(AND('Mapa final'!$AL$42="Muy Alta",'Mapa final'!$AN$42="Moderado"),CONCATENATE("R2C",'Mapa final'!$U$42),"")</f>
        <v/>
      </c>
      <c r="X16" s="39" t="str">
        <f>IF(AND('Mapa final'!$AL$43="Muy Alta",'Mapa final'!$AN$43="Moderado"),CONCATENATE("R2C",'Mapa final'!$U$43),"")</f>
        <v/>
      </c>
      <c r="Y16" s="39" t="str">
        <f>IF(AND('Mapa final'!$AL$44="Muy Alta",'Mapa final'!$AN$44="Moderado"),CONCATENATE("R2C",'Mapa final'!$U$44),"")</f>
        <v/>
      </c>
      <c r="Z16" s="39" t="str">
        <f>IF(AND('Mapa final'!$AL$45="Muy Alta",'Mapa final'!$AN$45="Moderado"),CONCATENATE("R2C",'Mapa final'!$U$45),"")</f>
        <v/>
      </c>
      <c r="AA16" s="39" t="str">
        <f>IF(AND('Mapa final'!$AL$46="Muy Alta",'Mapa final'!$AN$46="Moderado"),CONCATENATE("R2C",'Mapa final'!$U$46),"")</f>
        <v/>
      </c>
      <c r="AB16" s="40" t="str">
        <f>IF(AND('Mapa final'!$AL$47="Muy Alta",'Mapa final'!$AN$47="Moderado"),CONCATENATE("R2C",'Mapa final'!$U$47),"")</f>
        <v/>
      </c>
      <c r="AC16" s="38" t="str">
        <f>IF(AND('Mapa final'!$AL$42="Muy Alta",'Mapa final'!$AN$42="Mayor"),CONCATENATE("R2C",'Mapa final'!$U$42),"")</f>
        <v/>
      </c>
      <c r="AD16" s="39" t="str">
        <f>IF(AND('Mapa final'!$AL$43="Muy Alta",'Mapa final'!$AN$43="Mayor"),CONCATENATE("R2C",'Mapa final'!$U$43),"")</f>
        <v/>
      </c>
      <c r="AE16" s="39" t="str">
        <f>IF(AND('Mapa final'!$AL$44="Muy Alta",'Mapa final'!$AN$44="Mayor"),CONCATENATE("R2C",'Mapa final'!$U$44),"")</f>
        <v/>
      </c>
      <c r="AF16" s="39" t="str">
        <f>IF(AND('Mapa final'!$AL$45="Muy Alta",'Mapa final'!$AN$45="Mayor"),CONCATENATE("R2C",'Mapa final'!$U$45),"")</f>
        <v/>
      </c>
      <c r="AG16" s="39" t="str">
        <f>IF(AND('Mapa final'!$AL$46="Muy Alta",'Mapa final'!$AN$46="Mayor"),CONCATENATE("R2C",'Mapa final'!$U$46),"")</f>
        <v/>
      </c>
      <c r="AH16" s="40" t="str">
        <f>IF(AND('Mapa final'!$AL$47="Muy Alta",'Mapa final'!$AN$47="Mayor"),CONCATENATE("R2C",'Mapa final'!$U$47),"")</f>
        <v/>
      </c>
      <c r="AI16" s="41" t="str">
        <f>IF(AND('Mapa final'!$AL$42="Muy Alta",'Mapa final'!$AN$42="Catastrófico"),CONCATENATE("R2C",'Mapa final'!$U$42),"")</f>
        <v/>
      </c>
      <c r="AJ16" s="42" t="str">
        <f>IF(AND('Mapa final'!$AL$43="Muy Alta",'Mapa final'!$AN$43="Catastrófico"),CONCATENATE("R2C",'Mapa final'!$U$43),"")</f>
        <v/>
      </c>
      <c r="AK16" s="42" t="str">
        <f>IF(AND('Mapa final'!$AL$44="Muy Alta",'Mapa final'!$AN$44="Catastrófico"),CONCATENATE("R2C",'Mapa final'!$U$44),"")</f>
        <v/>
      </c>
      <c r="AL16" s="42" t="str">
        <f>IF(AND('Mapa final'!$AL$45="Muy Alta",'Mapa final'!$AN$45="Catastrófico"),CONCATENATE("R2C",'Mapa final'!$U$45),"")</f>
        <v/>
      </c>
      <c r="AM16" s="42" t="str">
        <f>IF(AND('Mapa final'!$AL$46="Muy Alta",'Mapa final'!$AN$46="Catastrófico"),CONCATENATE("R2C",'Mapa final'!$U$46),"")</f>
        <v/>
      </c>
      <c r="AN16" s="43" t="str">
        <f>IF(AND('Mapa final'!$AL$47="Muy Alta",'Mapa final'!$AN$47="Catastrófico"),CONCATENATE("R2C",'Mapa final'!$U$47),"")</f>
        <v/>
      </c>
      <c r="AO16" s="69"/>
      <c r="AP16" s="490"/>
      <c r="AQ16" s="491"/>
      <c r="AR16" s="491"/>
      <c r="AS16" s="491"/>
      <c r="AT16" s="491"/>
      <c r="AU16" s="492"/>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81"/>
      <c r="D17" s="381"/>
      <c r="E17" s="382"/>
      <c r="F17" s="471"/>
      <c r="G17" s="472"/>
      <c r="H17" s="472"/>
      <c r="I17" s="472"/>
      <c r="J17" s="472"/>
      <c r="K17" s="38" t="str">
        <f>IF(AND('Mapa final'!$AL$48="Muy Alta",'Mapa final'!$AN$48="Leve"),CONCATENATE("R2C",'Mapa final'!$U$48),"")</f>
        <v/>
      </c>
      <c r="L17" s="39" t="str">
        <f>IF(AND('Mapa final'!$AL$49="Muy Alta",'Mapa final'!$AN$49="Leve"),CONCATENATE("R2C",'Mapa final'!$U$49),"")</f>
        <v/>
      </c>
      <c r="M17" s="39" t="str">
        <f>IF(AND('Mapa final'!$AL$50="Muy Alta",'Mapa final'!$AN$50="Leve"),CONCATENATE("R2C",'Mapa final'!$U$50),"")</f>
        <v/>
      </c>
      <c r="N17" s="39" t="str">
        <f>IF(AND('Mapa final'!$AL$51="Muy Alta",'Mapa final'!$AN$51="Leve"),CONCATENATE("R2C",'Mapa final'!$U$51),"")</f>
        <v/>
      </c>
      <c r="O17" s="39" t="str">
        <f>IF(AND('Mapa final'!$AL$52="Muy Alta",'Mapa final'!$AN$52="Leve"),CONCATENATE("R2C",'Mapa final'!$U$52),"")</f>
        <v/>
      </c>
      <c r="P17" s="40" t="str">
        <f>IF(AND('Mapa final'!$AL$63="Muy Alta",'Mapa final'!$AN$53="Leve"),CONCATENATE("R2C",'Mapa final'!$U$53),"")</f>
        <v/>
      </c>
      <c r="Q17" s="39" t="str">
        <f>IF(AND('Mapa final'!$AL$48="Muy Alta",'Mapa final'!$AN$48="Menor"),CONCATENATE("R2C",'Mapa final'!$U$48),"")</f>
        <v/>
      </c>
      <c r="R17" s="39" t="str">
        <f>IF(AND('Mapa final'!$AL$49="Muy Alta",'Mapa final'!$AN$49="Menor"),CONCATENATE("R2C",'Mapa final'!$U$49),"")</f>
        <v/>
      </c>
      <c r="S17" s="39" t="str">
        <f>IF(AND('Mapa final'!$AL$50="Muy Alta",'Mapa final'!$AN$50="Menor"),CONCATENATE("R2C",'Mapa final'!$U$50),"")</f>
        <v/>
      </c>
      <c r="T17" s="39" t="str">
        <f>IF(AND('Mapa final'!$AL$51="Muy Alta",'Mapa final'!$AN$51="Menor"),CONCATENATE("R2C",'Mapa final'!$U$51),"")</f>
        <v/>
      </c>
      <c r="U17" s="39" t="str">
        <f>IF(AND('Mapa final'!$AL$52="Muy Alta",'Mapa final'!$AN$52="Menor"),CONCATENATE("R2C",'Mapa final'!$U$52),"")</f>
        <v/>
      </c>
      <c r="V17" s="40" t="str">
        <f>IF(AND('Mapa final'!$AL$63="Muy Alta",'Mapa final'!$AN$53="Menor"),CONCATENATE("R2C",'Mapa final'!$U$53),"")</f>
        <v/>
      </c>
      <c r="W17" s="38" t="str">
        <f>IF(AND('Mapa final'!$AL$48="Muy Alta",'Mapa final'!$AN$48="Moderado"),CONCATENATE("R2C",'Mapa final'!$U$48),"")</f>
        <v/>
      </c>
      <c r="X17" s="39" t="str">
        <f>IF(AND('Mapa final'!$AL$49="Muy Alta",'Mapa final'!$AN$49="Moderado"),CONCATENATE("R2C",'Mapa final'!$U$49),"")</f>
        <v/>
      </c>
      <c r="Y17" s="39" t="str">
        <f>IF(AND('Mapa final'!$AL$50="Muy Alta",'Mapa final'!$AN$50="Moderado"),CONCATENATE("R2C",'Mapa final'!$U$50),"")</f>
        <v/>
      </c>
      <c r="Z17" s="39" t="str">
        <f>IF(AND('Mapa final'!$AL$51="Muy Alta",'Mapa final'!$AN$51="Moderado"),CONCATENATE("R2C",'Mapa final'!$U$51),"")</f>
        <v/>
      </c>
      <c r="AA17" s="39" t="str">
        <f>IF(AND('Mapa final'!$AL$52="Muy Alta",'Mapa final'!$AN$52="Moderado"),CONCATENATE("R2C",'Mapa final'!$U$52),"")</f>
        <v/>
      </c>
      <c r="AB17" s="40" t="str">
        <f>IF(AND('Mapa final'!$AL$63="Muy Alta",'Mapa final'!$AN$53="Moderado"),CONCATENATE("R2C",'Mapa final'!$U$53),"")</f>
        <v/>
      </c>
      <c r="AC17" s="38" t="str">
        <f>IF(AND('Mapa final'!$AL$48="Muy Alta",'Mapa final'!$AN$48="Mayor"),CONCATENATE("R2C",'Mapa final'!$U$48),"")</f>
        <v/>
      </c>
      <c r="AD17" s="39" t="str">
        <f>IF(AND('Mapa final'!$AL$49="Muy Alta",'Mapa final'!$AN$49="Mayor"),CONCATENATE("R2C",'Mapa final'!$U$49),"")</f>
        <v/>
      </c>
      <c r="AE17" s="39" t="str">
        <f>IF(AND('Mapa final'!$AL$50="Muy Alta",'Mapa final'!$AN$50="Mayor"),CONCATENATE("R2C",'Mapa final'!$U$50),"")</f>
        <v/>
      </c>
      <c r="AF17" s="39" t="str">
        <f>IF(AND('Mapa final'!$AL$51="Muy Alta",'Mapa final'!$AN$51="Mayor"),CONCATENATE("R2C",'Mapa final'!$U$51),"")</f>
        <v/>
      </c>
      <c r="AG17" s="39" t="str">
        <f>IF(AND('Mapa final'!$AL$52="Muy Alta",'Mapa final'!$AN$52="Mayor"),CONCATENATE("R2C",'Mapa final'!$U$52),"")</f>
        <v/>
      </c>
      <c r="AH17" s="40" t="str">
        <f>IF(AND('Mapa final'!$AL$63="Muy Alta",'Mapa final'!$AN$53="Mayor"),CONCATENATE("R2C",'Mapa final'!$U$53),"")</f>
        <v/>
      </c>
      <c r="AI17" s="41" t="str">
        <f>IF(AND('Mapa final'!$AL$48="Muy Alta",'Mapa final'!$AN$48="Catastrófico"),CONCATENATE("R2C",'Mapa final'!$U$48),"")</f>
        <v/>
      </c>
      <c r="AJ17" s="42" t="str">
        <f>IF(AND('Mapa final'!$AL$49="Muy Alta",'Mapa final'!$AN$49="Catastrófico"),CONCATENATE("R2C",'Mapa final'!$U$49),"")</f>
        <v/>
      </c>
      <c r="AK17" s="42" t="str">
        <f>IF(AND('Mapa final'!$AL$50="Muy Alta",'Mapa final'!$AN$50="Catastrófico"),CONCATENATE("R2C",'Mapa final'!$U$50),"")</f>
        <v/>
      </c>
      <c r="AL17" s="42" t="str">
        <f>IF(AND('Mapa final'!$AL$51="Muy Alta",'Mapa final'!$AN$51="Catastrófico"),CONCATENATE("R2C",'Mapa final'!$U$51),"")</f>
        <v/>
      </c>
      <c r="AM17" s="42" t="str">
        <f>IF(AND('Mapa final'!$AL$52="Muy Alta",'Mapa final'!$AN$52="Catastrófico"),CONCATENATE("R2C",'Mapa final'!$U$52),"")</f>
        <v/>
      </c>
      <c r="AN17" s="43" t="str">
        <f>IF(AND('Mapa final'!$AL$63="Muy Alta",'Mapa final'!$AN$53="Catastrófico"),CONCATENATE("R2C",'Mapa final'!$U$53),"")</f>
        <v/>
      </c>
      <c r="AO17" s="69"/>
      <c r="AP17" s="490"/>
      <c r="AQ17" s="491"/>
      <c r="AR17" s="491"/>
      <c r="AS17" s="491"/>
      <c r="AT17" s="491"/>
      <c r="AU17" s="492"/>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81"/>
      <c r="D18" s="381"/>
      <c r="E18" s="382"/>
      <c r="F18" s="471"/>
      <c r="G18" s="472"/>
      <c r="H18" s="472"/>
      <c r="I18" s="472"/>
      <c r="J18" s="472"/>
      <c r="K18" s="38" t="str">
        <f>IF(AND('Mapa final'!$AL$54="Muy Alta",'Mapa final'!$AN$54="Leve"),CONCATENATE("R2C",'Mapa final'!$U$54),"")</f>
        <v/>
      </c>
      <c r="L18" s="39" t="str">
        <f>IF(AND('Mapa final'!$AL$55="Muy Alta",'Mapa final'!$AN$55="Leve"),CONCATENATE("R2C",'Mapa final'!$U$55),"")</f>
        <v/>
      </c>
      <c r="M18" s="39" t="str">
        <f>IF(AND('Mapa final'!$AL$56="Muy Alta",'Mapa final'!$AN$56="Leve"),CONCATENATE("R2C",'Mapa final'!$U$56),"")</f>
        <v/>
      </c>
      <c r="N18" s="39" t="str">
        <f>IF(AND('Mapa final'!$AL$57="Muy Alta",'Mapa final'!$AN$57="Leve"),CONCATENATE("R2C",'Mapa final'!$U$57),"")</f>
        <v/>
      </c>
      <c r="O18" s="39" t="str">
        <f>IF(AND('Mapa final'!$AL$58="Muy Alta",'Mapa final'!$AN$58="Leve"),CONCATENATE("R2C",'Mapa final'!$U$58),"")</f>
        <v/>
      </c>
      <c r="P18" s="40" t="str">
        <f>IF(AND('Mapa final'!$AL$59="Muy Alta",'Mapa final'!$AN$59="Leve"),CONCATENATE("R2C",'Mapa final'!$U$59),"")</f>
        <v/>
      </c>
      <c r="Q18" s="39" t="str">
        <f>IF(AND('Mapa final'!$AL$54="Muy Alta",'Mapa final'!$AN$54="Menor"),CONCATENATE("R2C",'Mapa final'!$U$54),"")</f>
        <v/>
      </c>
      <c r="R18" s="39" t="str">
        <f>IF(AND('Mapa final'!$AL$55="Muy Alta",'Mapa final'!$AN$55="Menor"),CONCATENATE("R2C",'Mapa final'!$U$55),"")</f>
        <v/>
      </c>
      <c r="S18" s="39" t="str">
        <f>IF(AND('Mapa final'!$AL$56="Muy Alta",'Mapa final'!$AN$56="Menor"),CONCATENATE("R2C",'Mapa final'!$U$56),"")</f>
        <v/>
      </c>
      <c r="T18" s="39" t="str">
        <f>IF(AND('Mapa final'!$AL$57="Muy Alta",'Mapa final'!$AN$57="Menor"),CONCATENATE("R2C",'Mapa final'!$U$57),"")</f>
        <v/>
      </c>
      <c r="U18" s="39" t="str">
        <f>IF(AND('Mapa final'!$AL$58="Muy Alta",'Mapa final'!$AN$58="Menor"),CONCATENATE("R2C",'Mapa final'!$U$58),"")</f>
        <v/>
      </c>
      <c r="V18" s="40" t="str">
        <f>IF(AND('Mapa final'!$AL$59="Muy Alta",'Mapa final'!$AN$59="Menor"),CONCATENATE("R2C",'Mapa final'!$U$59),"")</f>
        <v/>
      </c>
      <c r="W18" s="38" t="str">
        <f>IF(AND('Mapa final'!$AL$54="Muy Alta",'Mapa final'!$AN$54="Moderado"),CONCATENATE("R2C",'Mapa final'!$U$54),"")</f>
        <v/>
      </c>
      <c r="X18" s="39" t="str">
        <f>IF(AND('Mapa final'!$AL$55="Muy Alta",'Mapa final'!$AN$55="Moderado"),CONCATENATE("R2C",'Mapa final'!$U$55),"")</f>
        <v/>
      </c>
      <c r="Y18" s="39" t="str">
        <f>IF(AND('Mapa final'!$AL$56="Muy Alta",'Mapa final'!$AN$56="Moderado"),CONCATENATE("R2C",'Mapa final'!$U$56),"")</f>
        <v/>
      </c>
      <c r="Z18" s="39" t="str">
        <f>IF(AND('Mapa final'!$AL$57="Muy Alta",'Mapa final'!$AN$57="Moderado"),CONCATENATE("R2C",'Mapa final'!$U$57),"")</f>
        <v/>
      </c>
      <c r="AA18" s="39" t="str">
        <f>IF(AND('Mapa final'!$AL$58="Muy Alta",'Mapa final'!$AN$58="Moderado"),CONCATENATE("R2C",'Mapa final'!$U$58),"")</f>
        <v/>
      </c>
      <c r="AB18" s="40" t="str">
        <f>IF(AND('Mapa final'!$AL$59="Muy Alta",'Mapa final'!$AN$59="Moderado"),CONCATENATE("R2C",'Mapa final'!$U$59),"")</f>
        <v/>
      </c>
      <c r="AC18" s="38" t="str">
        <f>IF(AND('Mapa final'!$AL$54="Muy Alta",'Mapa final'!$AN$54="Mayor"),CONCATENATE("R2C",'Mapa final'!$U$54),"")</f>
        <v/>
      </c>
      <c r="AD18" s="39" t="str">
        <f>IF(AND('Mapa final'!$AL$55="Muy Alta",'Mapa final'!$AN$55="Mayor"),CONCATENATE("R2C",'Mapa final'!$U$55),"")</f>
        <v/>
      </c>
      <c r="AE18" s="39" t="str">
        <f>IF(AND('Mapa final'!$AL$56="Muy Alta",'Mapa final'!$AN$56="Mayor"),CONCATENATE("R2C",'Mapa final'!$U$56),"")</f>
        <v/>
      </c>
      <c r="AF18" s="39" t="str">
        <f>IF(AND('Mapa final'!$AL$57="Muy Alta",'Mapa final'!$AN$57="Mayor"),CONCATENATE("R2C",'Mapa final'!$U$57),"")</f>
        <v/>
      </c>
      <c r="AG18" s="39" t="str">
        <f>IF(AND('Mapa final'!$AL$58="Muy Alta",'Mapa final'!$AN$58="Mayor"),CONCATENATE("R2C",'Mapa final'!$U$58),"")</f>
        <v/>
      </c>
      <c r="AH18" s="40" t="str">
        <f>IF(AND('Mapa final'!$AL$59="Muy Alta",'Mapa final'!$AN$59="Mayor"),CONCATENATE("R2C",'Mapa final'!$U$59),"")</f>
        <v/>
      </c>
      <c r="AI18" s="41" t="str">
        <f>IF(AND('Mapa final'!$AL$54="Muy Alta",'Mapa final'!$AN$54="Catastrófico"),CONCATENATE("R2C",'Mapa final'!$U$54),"")</f>
        <v/>
      </c>
      <c r="AJ18" s="42" t="str">
        <f>IF(AND('Mapa final'!$AL$55="Muy Alta",'Mapa final'!$AN$55="Catastrófico"),CONCATENATE("R2C",'Mapa final'!$U$55),"")</f>
        <v/>
      </c>
      <c r="AK18" s="42" t="str">
        <f>IF(AND('Mapa final'!$AL$56="Muy Alta",'Mapa final'!$AN$56="Catastrófico"),CONCATENATE("R2C",'Mapa final'!$U$56),"")</f>
        <v/>
      </c>
      <c r="AL18" s="42" t="str">
        <f>IF(AND('Mapa final'!$AL$57="Muy Alta",'Mapa final'!$AN$57="Catastrófico"),CONCATENATE("R2C",'Mapa final'!$U$57),"")</f>
        <v/>
      </c>
      <c r="AM18" s="42" t="str">
        <f>IF(AND('Mapa final'!$AL$58="Muy Alta",'Mapa final'!$AN$58="Catastrófico"),CONCATENATE("R2C",'Mapa final'!$U$58),"")</f>
        <v/>
      </c>
      <c r="AN18" s="43" t="str">
        <f>IF(AND('Mapa final'!$AL$59="Muy Alta",'Mapa final'!$AN$59="Catastrófico"),CONCATENATE("R2C",'Mapa final'!$U$59),"")</f>
        <v/>
      </c>
      <c r="AO18" s="69"/>
      <c r="AP18" s="490"/>
      <c r="AQ18" s="491"/>
      <c r="AR18" s="491"/>
      <c r="AS18" s="491"/>
      <c r="AT18" s="491"/>
      <c r="AU18" s="492"/>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81"/>
      <c r="D19" s="381"/>
      <c r="E19" s="382"/>
      <c r="F19" s="471"/>
      <c r="G19" s="472"/>
      <c r="H19" s="472"/>
      <c r="I19" s="472"/>
      <c r="J19" s="472"/>
      <c r="K19" s="38" t="str">
        <f>IF(AND('Mapa final'!$AL$60="Muy Alta",'Mapa final'!$AN$60="Leve"),CONCATENATE("R2C",'Mapa final'!$U$60),"")</f>
        <v/>
      </c>
      <c r="L19" s="39" t="str">
        <f>IF(AND('Mapa final'!$AL$61="Muy Alta",'Mapa final'!$AN$61="Leve"),CONCATENATE("R2C",'Mapa final'!$U$61),"")</f>
        <v/>
      </c>
      <c r="M19" s="39" t="str">
        <f>IF(AND('Mapa final'!$AL$62="Muy Alta",'Mapa final'!$AN$62="Leve"),CONCATENATE("R2C",'Mapa final'!$U$62),"")</f>
        <v/>
      </c>
      <c r="N19" s="39" t="str">
        <f>IF(AND('Mapa final'!$AL$63="Muy Alta",'Mapa final'!$AN$63="Leve"),CONCATENATE("R2C",'Mapa final'!$U$63),"")</f>
        <v/>
      </c>
      <c r="O19" s="39" t="str">
        <f>IF(AND('Mapa final'!$AL$64="Muy Alta",'Mapa final'!$AN$64="Leve"),CONCATENATE("R2C",'Mapa final'!$U$64),"")</f>
        <v/>
      </c>
      <c r="P19" s="40" t="str">
        <f>IF(AND('Mapa final'!$AL$65="Muy Alta",'Mapa final'!$AN$65="Leve"),CONCATENATE("R2C",'Mapa final'!$U$65),"")</f>
        <v/>
      </c>
      <c r="Q19" s="39" t="str">
        <f>IF(AND('Mapa final'!$AL$60="Muy Alta",'Mapa final'!$AN$60="Menor"),CONCATENATE("R2C",'Mapa final'!$U$60),"")</f>
        <v/>
      </c>
      <c r="R19" s="39" t="str">
        <f>IF(AND('Mapa final'!$AL$61="Muy Alta",'Mapa final'!$AN$61="Menor"),CONCATENATE("R2C",'Mapa final'!$U$61),"")</f>
        <v/>
      </c>
      <c r="S19" s="39" t="str">
        <f>IF(AND('Mapa final'!$AL$62="Muy Alta",'Mapa final'!$AN$62="Menor"),CONCATENATE("R2C",'Mapa final'!$U$62),"")</f>
        <v/>
      </c>
      <c r="T19" s="39" t="str">
        <f>IF(AND('Mapa final'!$AL$63="Muy Alta",'Mapa final'!$AN$63="Menor"),CONCATENATE("R2C",'Mapa final'!$U$63),"")</f>
        <v/>
      </c>
      <c r="U19" s="39" t="str">
        <f>IF(AND('Mapa final'!$AL$64="Muy Alta",'Mapa final'!$AN$64="Menor"),CONCATENATE("R2C",'Mapa final'!$U$64),"")</f>
        <v/>
      </c>
      <c r="V19" s="40" t="str">
        <f>IF(AND('Mapa final'!$AL$65="Muy Alta",'Mapa final'!$AN$65="Menor"),CONCATENATE("R2C",'Mapa final'!$U$65),"")</f>
        <v/>
      </c>
      <c r="W19" s="38" t="str">
        <f>IF(AND('Mapa final'!$AL$60="Muy Alta",'Mapa final'!$AN$60="Moderado"),CONCATENATE("R2C",'Mapa final'!$U$60),"")</f>
        <v/>
      </c>
      <c r="X19" s="39" t="str">
        <f>IF(AND('Mapa final'!$AL$61="Muy Alta",'Mapa final'!$AN$61="Moderado"),CONCATENATE("R2C",'Mapa final'!$U$61),"")</f>
        <v/>
      </c>
      <c r="Y19" s="39" t="str">
        <f>IF(AND('Mapa final'!$AL$62="Muy Alta",'Mapa final'!$AN$62="Moderado"),CONCATENATE("R2C",'Mapa final'!$U$62),"")</f>
        <v/>
      </c>
      <c r="Z19" s="39" t="str">
        <f>IF(AND('Mapa final'!$AL$63="Muy Alta",'Mapa final'!$AN$63="Moderado"),CONCATENATE("R2C",'Mapa final'!$U$63),"")</f>
        <v/>
      </c>
      <c r="AA19" s="39" t="str">
        <f>IF(AND('Mapa final'!$AL$64="Muy Alta",'Mapa final'!$AN$64="Moderado"),CONCATENATE("R2C",'Mapa final'!$U$64),"")</f>
        <v/>
      </c>
      <c r="AB19" s="40" t="str">
        <f>IF(AND('Mapa final'!$AL$65="Muy Alta",'Mapa final'!$AN$65="Moderado"),CONCATENATE("R2C",'Mapa final'!$U$65),"")</f>
        <v/>
      </c>
      <c r="AC19" s="38" t="str">
        <f>IF(AND('Mapa final'!$AL$60="Muy Alta",'Mapa final'!$AN$60="Mayor"),CONCATENATE("R2C",'Mapa final'!$U$60),"")</f>
        <v/>
      </c>
      <c r="AD19" s="39" t="str">
        <f>IF(AND('Mapa final'!$AL$61="Muy Alta",'Mapa final'!$AN$61="Mayor"),CONCATENATE("R2C",'Mapa final'!$U$61),"")</f>
        <v/>
      </c>
      <c r="AE19" s="39" t="str">
        <f>IF(AND('Mapa final'!$AL$62="Muy Alta",'Mapa final'!$AN$62="Mayor"),CONCATENATE("R2C",'Mapa final'!$U$62),"")</f>
        <v/>
      </c>
      <c r="AF19" s="39" t="str">
        <f>IF(AND('Mapa final'!$AL$63="Muy Alta",'Mapa final'!$AN$63="Mayor"),CONCATENATE("R2C",'Mapa final'!$U$63),"")</f>
        <v/>
      </c>
      <c r="AG19" s="39" t="str">
        <f>IF(AND('Mapa final'!$AL$64="Muy Alta",'Mapa final'!$AN$64="Mayor"),CONCATENATE("R2C",'Mapa final'!$U$64),"")</f>
        <v/>
      </c>
      <c r="AH19" s="40" t="str">
        <f>IF(AND('Mapa final'!$AL$65="Muy Alta",'Mapa final'!$AN$65="Mayor"),CONCATENATE("R2C",'Mapa final'!$U$65),"")</f>
        <v/>
      </c>
      <c r="AI19" s="41" t="str">
        <f>IF(AND('Mapa final'!$AL$60="Muy Alta",'Mapa final'!$AN$60="Catastrófico"),CONCATENATE("R2C",'Mapa final'!$U$60),"")</f>
        <v/>
      </c>
      <c r="AJ19" s="42" t="str">
        <f>IF(AND('Mapa final'!$AL$61="Muy Alta",'Mapa final'!$AN$61="Catastrófico"),CONCATENATE("R2C",'Mapa final'!$U$61),"")</f>
        <v/>
      </c>
      <c r="AK19" s="42" t="str">
        <f>IF(AND('Mapa final'!$AL$62="Muy Alta",'Mapa final'!$AN$62="Catastrófico"),CONCATENATE("R2C",'Mapa final'!$U$62),"")</f>
        <v/>
      </c>
      <c r="AL19" s="42" t="str">
        <f>IF(AND('Mapa final'!$AL$63="Muy Alta",'Mapa final'!$AN$63="Catastrófico"),CONCATENATE("R2C",'Mapa final'!$U$63),"")</f>
        <v/>
      </c>
      <c r="AM19" s="42" t="str">
        <f>IF(AND('Mapa final'!$AL$64="Muy Alta",'Mapa final'!$AN$64="Catastrófico"),CONCATENATE("R2C",'Mapa final'!$U$64),"")</f>
        <v/>
      </c>
      <c r="AN19" s="43" t="str">
        <f>IF(AND('Mapa final'!$AL$65="Muy Alta",'Mapa final'!$AN$65="Catastrófico"),CONCATENATE("R2C",'Mapa final'!$U$65),"")</f>
        <v/>
      </c>
      <c r="AO19" s="69"/>
      <c r="AP19" s="490"/>
      <c r="AQ19" s="491"/>
      <c r="AR19" s="491"/>
      <c r="AS19" s="491"/>
      <c r="AT19" s="491"/>
      <c r="AU19" s="492"/>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81"/>
      <c r="D20" s="381"/>
      <c r="E20" s="382"/>
      <c r="F20" s="471"/>
      <c r="G20" s="472"/>
      <c r="H20" s="472"/>
      <c r="I20" s="472"/>
      <c r="J20" s="472"/>
      <c r="K20" s="38" t="str">
        <f>IF(AND('Mapa final'!$AL$66="Muy Alta",'Mapa final'!$AN$66="Leve"),CONCATENATE("R2C",'Mapa final'!$U$66),"")</f>
        <v/>
      </c>
      <c r="L20" s="39" t="str">
        <f>IF(AND('Mapa final'!$AL$67="Muy Alta",'Mapa final'!$AN$67="Leve"),CONCATENATE("R2C",'Mapa final'!$U$67),"")</f>
        <v/>
      </c>
      <c r="M20" s="39" t="str">
        <f>IF(AND('Mapa final'!$AL$68="Muy Alta",'Mapa final'!$AN$68="Leve"),CONCATENATE("R2C",'Mapa final'!$U$68),"")</f>
        <v/>
      </c>
      <c r="N20" s="39" t="str">
        <f>IF(AND('Mapa final'!$AL$69="Muy Alta",'Mapa final'!$AN$69="Leve"),CONCATENATE("R2C",'Mapa final'!$U$69),"")</f>
        <v/>
      </c>
      <c r="O20" s="39" t="str">
        <f>IF(AND('Mapa final'!$AL$70="Muy Alta",'Mapa final'!$AN$70="Leve"),CONCATENATE("R2C",'Mapa final'!$U$70),"")</f>
        <v/>
      </c>
      <c r="P20" s="40" t="str">
        <f>IF(AND('Mapa final'!$AL$71="Muy Alta",'Mapa final'!$AN$71="Leve"),CONCATENATE("R2C",'Mapa final'!$U$71),"")</f>
        <v/>
      </c>
      <c r="Q20" s="39" t="str">
        <f>IF(AND('Mapa final'!$AL$66="Muy Alta",'Mapa final'!$AN$66="Menor"),CONCATENATE("R2C",'Mapa final'!$U$66),"")</f>
        <v/>
      </c>
      <c r="R20" s="39" t="str">
        <f>IF(AND('Mapa final'!$AL$67="Muy Alta",'Mapa final'!$AN$67="Menor"),CONCATENATE("R2C",'Mapa final'!$U$67),"")</f>
        <v/>
      </c>
      <c r="S20" s="39" t="str">
        <f>IF(AND('Mapa final'!$AL$68="Muy Alta",'Mapa final'!$AN$68="Menor"),CONCATENATE("R2C",'Mapa final'!$U$68),"")</f>
        <v/>
      </c>
      <c r="T20" s="39" t="str">
        <f>IF(AND('Mapa final'!$AL$69="Muy Alta",'Mapa final'!$AN$69="Menor"),CONCATENATE("R2C",'Mapa final'!$U$69),"")</f>
        <v/>
      </c>
      <c r="U20" s="39" t="str">
        <f>IF(AND('Mapa final'!$AL$70="Muy Alta",'Mapa final'!$AN$70="Menor"),CONCATENATE("R2C",'Mapa final'!$U$70),"")</f>
        <v/>
      </c>
      <c r="V20" s="40" t="str">
        <f>IF(AND('Mapa final'!$AL$71="Muy Alta",'Mapa final'!$AN$71="Menor"),CONCATENATE("R2C",'Mapa final'!$U$71),"")</f>
        <v/>
      </c>
      <c r="W20" s="38" t="str">
        <f>IF(AND('Mapa final'!$AL$66="Muy Alta",'Mapa final'!$AN$66="Moderado"),CONCATENATE("R2C",'Mapa final'!$U$66),"")</f>
        <v/>
      </c>
      <c r="X20" s="39" t="str">
        <f>IF(AND('Mapa final'!$AL$67="Muy Alta",'Mapa final'!$AN$67="Moderado"),CONCATENATE("R2C",'Mapa final'!$U$67),"")</f>
        <v/>
      </c>
      <c r="Y20" s="39" t="str">
        <f>IF(AND('Mapa final'!$AL$68="Muy Alta",'Mapa final'!$AN$68="Moderado"),CONCATENATE("R2C",'Mapa final'!$U$68),"")</f>
        <v/>
      </c>
      <c r="Z20" s="39" t="str">
        <f>IF(AND('Mapa final'!$AL$69="Muy Alta",'Mapa final'!$AN$69="Moderado"),CONCATENATE("R2C",'Mapa final'!$U$69),"")</f>
        <v/>
      </c>
      <c r="AA20" s="39" t="str">
        <f>IF(AND('Mapa final'!$AL$70="Muy Alta",'Mapa final'!$AN$70="Moderado"),CONCATENATE("R2C",'Mapa final'!$U$70),"")</f>
        <v/>
      </c>
      <c r="AB20" s="40" t="str">
        <f>IF(AND('Mapa final'!$AL$71="Muy Alta",'Mapa final'!$AN$71="Moderado"),CONCATENATE("R2C",'Mapa final'!$U$71),"")</f>
        <v/>
      </c>
      <c r="AC20" s="38" t="str">
        <f>IF(AND('Mapa final'!$AL$66="Muy Alta",'Mapa final'!$AN$66="Mayor"),CONCATENATE("R2C",'Mapa final'!$U$66),"")</f>
        <v/>
      </c>
      <c r="AD20" s="39" t="str">
        <f>IF(AND('Mapa final'!$AL$67="Muy Alta",'Mapa final'!$AN$67="Mayor"),CONCATENATE("R2C",'Mapa final'!$U$67),"")</f>
        <v/>
      </c>
      <c r="AE20" s="39" t="str">
        <f>IF(AND('Mapa final'!$AL$68="Muy Alta",'Mapa final'!$AN$68="Mayor"),CONCATENATE("R2C",'Mapa final'!$U$68),"")</f>
        <v/>
      </c>
      <c r="AF20" s="39" t="str">
        <f>IF(AND('Mapa final'!$AL$69="Muy Alta",'Mapa final'!$AN$69="Mayor"),CONCATENATE("R2C",'Mapa final'!$U$69),"")</f>
        <v/>
      </c>
      <c r="AG20" s="39" t="str">
        <f>IF(AND('Mapa final'!$AL$70="Muy Alta",'Mapa final'!$AN$70="Mayor"),CONCATENATE("R2C",'Mapa final'!$U$70),"")</f>
        <v/>
      </c>
      <c r="AH20" s="40" t="str">
        <f>IF(AND('Mapa final'!$AL$71="Muy Alta",'Mapa final'!$AN$71="Mayor"),CONCATENATE("R2C",'Mapa final'!$U$71),"")</f>
        <v/>
      </c>
      <c r="AI20" s="41" t="str">
        <f>IF(AND('Mapa final'!$AL$66="Muy Alta",'Mapa final'!$AN$66="Catastrófico"),CONCATENATE("R2C",'Mapa final'!$U$66),"")</f>
        <v/>
      </c>
      <c r="AJ20" s="42" t="str">
        <f>IF(AND('Mapa final'!$AL$67="Muy Alta",'Mapa final'!$AN$67="Catastrófico"),CONCATENATE("R2C",'Mapa final'!$U$67),"")</f>
        <v/>
      </c>
      <c r="AK20" s="42" t="str">
        <f>IF(AND('Mapa final'!$AL$68="Muy Alta",'Mapa final'!$AN$68="Catastrófico"),CONCATENATE("R2C",'Mapa final'!$U$68),"")</f>
        <v/>
      </c>
      <c r="AL20" s="42" t="str">
        <f>IF(AND('Mapa final'!$AL$69="Muy Alta",'Mapa final'!$AN$69="Catastrófico"),CONCATENATE("R2C",'Mapa final'!$U$69),"")</f>
        <v/>
      </c>
      <c r="AM20" s="42" t="str">
        <f>IF(AND('Mapa final'!$AL$70="Muy Alta",'Mapa final'!$AN$70="Catastrófico"),CONCATENATE("R2C",'Mapa final'!$U$70),"")</f>
        <v/>
      </c>
      <c r="AN20" s="43" t="str">
        <f>IF(AND('Mapa final'!$AL$71="Muy Alta",'Mapa final'!$AN$71="Catastrófico"),CONCATENATE("R2C",'Mapa final'!$U$71),"")</f>
        <v/>
      </c>
      <c r="AO20" s="69"/>
      <c r="AP20" s="490"/>
      <c r="AQ20" s="491"/>
      <c r="AR20" s="491"/>
      <c r="AS20" s="491"/>
      <c r="AT20" s="491"/>
      <c r="AU20" s="492"/>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81"/>
      <c r="D21" s="381"/>
      <c r="E21" s="382"/>
      <c r="F21" s="474"/>
      <c r="G21" s="475"/>
      <c r="H21" s="475"/>
      <c r="I21" s="475"/>
      <c r="J21" s="475"/>
      <c r="K21" s="44" t="str">
        <f>IF(AND('Mapa final'!$AL$72="Muy Alta",'Mapa final'!$AN$72="Leve"),CONCATENATE("R2C",'Mapa final'!$U$72),"")</f>
        <v/>
      </c>
      <c r="L21" s="45" t="str">
        <f>IF(AND('Mapa final'!$AL$73="Muy Alta",'Mapa final'!$AN$73="Leve"),CONCATENATE("R2C",'Mapa final'!$U$73),"")</f>
        <v/>
      </c>
      <c r="M21" s="45" t="str">
        <f>IF(AND('Mapa final'!$AL$74="Muy Alta",'Mapa final'!$AN$74="Leve"),CONCATENATE("R2C",'Mapa final'!$U$74),"")</f>
        <v/>
      </c>
      <c r="N21" s="45" t="str">
        <f>IF(AND('Mapa final'!$AL$75="Muy Alta",'Mapa final'!$AN$75="Leve"),CONCATENATE("R2C",'Mapa final'!$U$75),"")</f>
        <v/>
      </c>
      <c r="O21" s="45" t="str">
        <f>IF(AND('Mapa final'!$AL$77="Muy Alta",'Mapa final'!$AN$77="Leve"),CONCATENATE("R2C",'Mapa final'!$U$77),"")</f>
        <v/>
      </c>
      <c r="P21" s="46" t="str">
        <f>IF(AND('Mapa final'!$AL$78="Muy Alta",'Mapa final'!$AN$78="Leve"),CONCATENATE("R2C",'Mapa final'!$U$78),"")</f>
        <v/>
      </c>
      <c r="Q21" s="39" t="str">
        <f>IF(AND('Mapa final'!$AL$72="Muy Alta",'Mapa final'!$AN$72="Menor"),CONCATENATE("R2C",'Mapa final'!$U$72),"")</f>
        <v/>
      </c>
      <c r="R21" s="39" t="str">
        <f>IF(AND('Mapa final'!$AL$73="Muy Alta",'Mapa final'!$AN$73="Menor"),CONCATENATE("R2C",'Mapa final'!$U$73),"")</f>
        <v/>
      </c>
      <c r="S21" s="39" t="str">
        <f>IF(AND('Mapa final'!$AL$74="Muy Alta",'Mapa final'!$AN$74="Menor"),CONCATENATE("R2C",'Mapa final'!$U$74),"")</f>
        <v/>
      </c>
      <c r="T21" s="39" t="str">
        <f>IF(AND('Mapa final'!$AL$75="Muy Alta",'Mapa final'!$AN$75="Menor"),CONCATENATE("R2C",'Mapa final'!$U$75),"")</f>
        <v/>
      </c>
      <c r="U21" s="39" t="str">
        <f>IF(AND('Mapa final'!$AL$77="Muy Alta",'Mapa final'!$AN$77="Menor"),CONCATENATE("R2C",'Mapa final'!$U$77),"")</f>
        <v/>
      </c>
      <c r="V21" s="40" t="str">
        <f>IF(AND('Mapa final'!$AL$78="Muy Alta",'Mapa final'!$AN$78="Menor"),CONCATENATE("R2C",'Mapa final'!$U$78),"")</f>
        <v/>
      </c>
      <c r="W21" s="44" t="str">
        <f>IF(AND('Mapa final'!$AL$72="Muy Alta",'Mapa final'!$AN$72="Moderado"),CONCATENATE("R2C",'Mapa final'!$U$72),"")</f>
        <v/>
      </c>
      <c r="X21" s="45" t="str">
        <f>IF(AND('Mapa final'!$AL$73="Muy Alta",'Mapa final'!$AN$73="Moderado"),CONCATENATE("R2C",'Mapa final'!$U$73),"")</f>
        <v/>
      </c>
      <c r="Y21" s="45" t="str">
        <f>IF(AND('Mapa final'!$AL$74="Muy Alta",'Mapa final'!$AN$74="Moderado"),CONCATENATE("R2C",'Mapa final'!$U$74),"")</f>
        <v/>
      </c>
      <c r="Z21" s="45" t="str">
        <f>IF(AND('Mapa final'!$AL$75="Muy Alta",'Mapa final'!$AN$75="Moderado"),CONCATENATE("R2C",'Mapa final'!$U$75),"")</f>
        <v/>
      </c>
      <c r="AA21" s="45" t="str">
        <f>IF(AND('Mapa final'!$AL$77="Muy Alta",'Mapa final'!$AN$77="Moderado"),CONCATENATE("R2C",'Mapa final'!$U$77),"")</f>
        <v/>
      </c>
      <c r="AB21" s="46" t="str">
        <f>IF(AND('Mapa final'!$AL$78="Muy Alta",'Mapa final'!$AN$78="Moderado"),CONCATENATE("R2C",'Mapa final'!$U$78),"")</f>
        <v/>
      </c>
      <c r="AC21" s="38" t="str">
        <f>IF(AND('Mapa final'!$AL$72="Muy Alta",'Mapa final'!$AN$72="Mayor"),CONCATENATE("R2C",'Mapa final'!$U$72),"")</f>
        <v/>
      </c>
      <c r="AD21" s="39" t="str">
        <f>IF(AND('Mapa final'!$AL$73="Muy Alta",'Mapa final'!$AN$73="Mayor"),CONCATENATE("R2C",'Mapa final'!$U$73),"")</f>
        <v/>
      </c>
      <c r="AE21" s="39" t="str">
        <f>IF(AND('Mapa final'!$AL$74="Muy Alta",'Mapa final'!$AN$74="Mayor"),CONCATENATE("R2C",'Mapa final'!$U$74),"")</f>
        <v/>
      </c>
      <c r="AF21" s="39" t="str">
        <f>IF(AND('Mapa final'!$AL$75="Muy Alta",'Mapa final'!$AN$75="Mayor"),CONCATENATE("R2C",'Mapa final'!$U$75),"")</f>
        <v/>
      </c>
      <c r="AG21" s="39" t="str">
        <f>IF(AND('Mapa final'!$AL$77="Muy Alta",'Mapa final'!$AN$77="Mayor"),CONCATENATE("R2C",'Mapa final'!$U$77),"")</f>
        <v/>
      </c>
      <c r="AH21" s="40" t="str">
        <f>IF(AND('Mapa final'!$AL$78="Muy Alta",'Mapa final'!$AN$78="Mayor"),CONCATENATE("R2C",'Mapa final'!$U$78),"")</f>
        <v/>
      </c>
      <c r="AI21" s="47" t="str">
        <f>IF(AND('Mapa final'!$AL$72="Muy Alta",'Mapa final'!$AN$72="Catastrófico"),CONCATENATE("R2C",'Mapa final'!$U$72),"")</f>
        <v/>
      </c>
      <c r="AJ21" s="48" t="str">
        <f>IF(AND('Mapa final'!$AL$73="Muy Alta",'Mapa final'!$AN$73="Catastrófico"),CONCATENATE("R2C",'Mapa final'!$U$73),"")</f>
        <v/>
      </c>
      <c r="AK21" s="48" t="str">
        <f>IF(AND('Mapa final'!$AL$74="Muy Alta",'Mapa final'!$AN$74="Catastrófico"),CONCATENATE("R2C",'Mapa final'!$U$74),"")</f>
        <v/>
      </c>
      <c r="AL21" s="48" t="str">
        <f>IF(AND('Mapa final'!$AL$75="Muy Alta",'Mapa final'!$AN$75="Catastrófico"),CONCATENATE("R2C",'Mapa final'!$U$75),"")</f>
        <v/>
      </c>
      <c r="AM21" s="48" t="str">
        <f>IF(AND('Mapa final'!$AL$77="Muy Alta",'Mapa final'!$AN$77="Catastrófico"),CONCATENATE("R2C",'Mapa final'!$U$77),"")</f>
        <v/>
      </c>
      <c r="AN21" s="49" t="str">
        <f>IF(AND('Mapa final'!$AL$78="Muy Alta",'Mapa final'!$AN$78="Catastrófico"),CONCATENATE("R2C",'Mapa final'!$U$78),"")</f>
        <v/>
      </c>
      <c r="AO21" s="69"/>
      <c r="AP21" s="493"/>
      <c r="AQ21" s="494"/>
      <c r="AR21" s="494"/>
      <c r="AS21" s="494"/>
      <c r="AT21" s="494"/>
      <c r="AU21" s="49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81"/>
      <c r="D22" s="381"/>
      <c r="E22" s="382"/>
      <c r="F22" s="468" t="s">
        <v>114</v>
      </c>
      <c r="G22" s="469"/>
      <c r="H22" s="469"/>
      <c r="I22" s="469"/>
      <c r="J22" s="469"/>
      <c r="K22" s="53" t="str">
        <f>IF(AND('Mapa final'!$AL$15="Alta",'Mapa final'!$AN$15="Leve"),CONCATENATE("R2C",'Mapa final'!$U$15),"")</f>
        <v/>
      </c>
      <c r="L22" s="54" t="str">
        <f>IF(AND('Mapa final'!$AL$16="Alta",'Mapa final'!$AN$16="Leve"),CONCATENATE("R2C",'Mapa final'!$U$16),"")</f>
        <v/>
      </c>
      <c r="M22" s="54" t="str">
        <f>IF(AND('Mapa final'!$AL$17="Alta",'Mapa final'!$AN$17="Leve"),CONCATENATE("R2C",'Mapa final'!$U$17),"")</f>
        <v/>
      </c>
      <c r="N22" s="54" t="str">
        <f>IF(AND('Mapa final'!$AL$18="Alta",'Mapa final'!$AN$18="Leve"),CONCATENATE("R2C",'Mapa final'!$U$18),"")</f>
        <v/>
      </c>
      <c r="O22" s="54" t="str">
        <f>IF(AND('Mapa final'!$AL$20="Alta",'Mapa final'!$AN$20="Leve"),CONCATENATE("R2C",'Mapa final'!$U$20),"")</f>
        <v/>
      </c>
      <c r="P22" s="55" t="str">
        <f>IF(AND('Mapa final'!$AL$21="Alta",'Mapa final'!$AN$21="Leve"),CONCATENATE("R2C",'Mapa final'!$U$21),"")</f>
        <v/>
      </c>
      <c r="Q22" s="50" t="str">
        <f>IF(AND('Mapa final'!$AL$15="Alta",'Mapa final'!$AN$15="Menor"),CONCATENATE("R2C",'Mapa final'!$U$15),"")</f>
        <v/>
      </c>
      <c r="R22" s="51" t="str">
        <f>IF(AND('Mapa final'!$AL$16="Alta",'Mapa final'!$AN$16="Menore"),CONCATENATE("R2C",'Mapa final'!$U$16),"")</f>
        <v/>
      </c>
      <c r="S22" s="51" t="str">
        <f>IF(AND('Mapa final'!$AL$17="Alta",'Mapa final'!$AN$17="Menor"),CONCATENATE("R2C",'Mapa final'!$U$17),"")</f>
        <v/>
      </c>
      <c r="T22" s="51" t="str">
        <f>IF(AND('Mapa final'!$AL$18="Alta",'Mapa final'!$AN$18="Menor"),CONCATENATE("R2C",'Mapa final'!$U$18),"")</f>
        <v/>
      </c>
      <c r="U22" s="51" t="str">
        <f>IF(AND('Mapa final'!$AL$20="Alta",'Mapa final'!$AN$20="Menor"),CONCATENATE("R2C",'Mapa final'!$U$20),"")</f>
        <v/>
      </c>
      <c r="V22" s="52" t="str">
        <f>IF(AND('Mapa final'!$AL$21="Alta",'Mapa final'!$AN$21="Menor"),CONCATENATE("R2C",'Mapa final'!$U$21),"")</f>
        <v/>
      </c>
      <c r="W22" s="32" t="str">
        <f>IF(AND('Mapa final'!$AL$15="Alta",'Mapa final'!$AN$15="Moderado"),CONCATENATE("R2C",'Mapa final'!$U$15),"")</f>
        <v/>
      </c>
      <c r="X22" s="33" t="str">
        <f>IF(AND('Mapa final'!$AL$16="Alta",'Mapa final'!$AN$16="Moderado"),CONCATENATE("R2C",'Mapa final'!$U$16),"")</f>
        <v/>
      </c>
      <c r="Y22" s="33"/>
      <c r="Z22" s="33" t="str">
        <f>IF(AND('Mapa final'!$AL$18="Alta",'Mapa final'!$AN$18="Moderado"),CONCATENATE("R2C",'Mapa final'!$U$18),"")</f>
        <v/>
      </c>
      <c r="AA22" s="33" t="str">
        <f>IF(AND('Mapa final'!$AL$20="Alta",'Mapa final'!$AN$20="Moderado"),CONCATENATE("R2C",'Mapa final'!$U$20),"")</f>
        <v/>
      </c>
      <c r="AB22" s="34" t="str">
        <f>IF(AND('Mapa final'!$AL$21="Alta",'Mapa final'!$AN$21="Moderado"),CONCATENATE("R2C",'Mapa final'!$U$21),"")</f>
        <v/>
      </c>
      <c r="AC22" s="32" t="str">
        <f>IF(AND('Mapa final'!$AL$15="Alta",'Mapa final'!$AN$15="Mayor"),CONCATENATE("R2C",'Mapa final'!$U$15),"")</f>
        <v/>
      </c>
      <c r="AD22" s="33" t="str">
        <f>IF(AND('Mapa final'!$AL$16="Alta",'Mapa final'!$AN$16="Mayor"),CONCATENATE("R2C",'Mapa final'!$U$16),"")</f>
        <v/>
      </c>
      <c r="AE22" s="33" t="str">
        <f>IF(AND('Mapa final'!$AL$17="Alta",'Mapa final'!$AN$17="Mayor"),CONCATENATE("R2C",'Mapa final'!$D$17),"")</f>
        <v/>
      </c>
      <c r="AF22" s="33" t="str">
        <f>IF(AND('Mapa final'!$AL$18="Alta",'Mapa final'!$AN$18="Mayor"),CONCATENATE("R2C",'Mapa final'!$U$18),"")</f>
        <v/>
      </c>
      <c r="AG22" s="33" t="str">
        <f>IF(AND('Mapa final'!$AL$20="Alta",'Mapa final'!$AN$20="Mayor"),CONCATENATE("R2C",'Mapa final'!$U$20),"")</f>
        <v/>
      </c>
      <c r="AH22" s="34" t="str">
        <f>IF(AND('Mapa final'!$AL$21="Alta",'Mapa final'!$AN$21="Mayor"),CONCATENATE("R2C",'Mapa final'!$U$21),"")</f>
        <v/>
      </c>
      <c r="AI22" s="35" t="str">
        <f>IF(AND('Mapa final'!$AL$15="Alta",'Mapa final'!$AN$15="Catastrófico"),CONCATENATE("R2C",'Mapa final'!$U$15),"")</f>
        <v/>
      </c>
      <c r="AJ22" s="36" t="str">
        <f>IF(AND('Mapa final'!$AL$16="Alta",'Mapa final'!$AN$16="Catastrófico"),CONCATENATE("R2C",'Mapa final'!$U$16),"")</f>
        <v/>
      </c>
      <c r="AK22" s="36" t="str">
        <f>IF(AND('Mapa final'!$AL$17="Alta",'Mapa final'!$AN$17="Catastrófico"),CONCATENATE("R2C",'Mapa final'!$U$17),"")</f>
        <v/>
      </c>
      <c r="AL22" s="36" t="str">
        <f>IF(AND('Mapa final'!$AL$18="Alta",'Mapa final'!$AN$18="Catastrófico"),CONCATENATE("R2C",'Mapa final'!$U$18),"")</f>
        <v/>
      </c>
      <c r="AM22" s="36" t="str">
        <f>IF(AND('Mapa final'!$AL$20="Alta",'Mapa final'!$AN$20="Catastrófico"),CONCATENATE("R2C",'Mapa final'!$U$20),"")</f>
        <v/>
      </c>
      <c r="AN22" s="37" t="str">
        <f>IF(AND('Mapa final'!$AL$21="Alta",'Mapa final'!$AN$21="Catastrófico"),CONCATENATE("R2C",'Mapa final'!$U$21),"")</f>
        <v/>
      </c>
      <c r="AO22" s="69"/>
      <c r="AP22" s="477" t="s">
        <v>79</v>
      </c>
      <c r="AQ22" s="478"/>
      <c r="AR22" s="478"/>
      <c r="AS22" s="478"/>
      <c r="AT22" s="478"/>
      <c r="AU22" s="47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81"/>
      <c r="D23" s="381"/>
      <c r="E23" s="382"/>
      <c r="F23" s="486"/>
      <c r="G23" s="472"/>
      <c r="H23" s="472"/>
      <c r="I23" s="472"/>
      <c r="J23" s="472"/>
      <c r="K23" s="53" t="str">
        <f>IF(AND('Mapa final'!$AL$24="Alta",'Mapa final'!$AN$24="Leve"),CONCATENATE("R2C",'Mapa final'!$U$24),"")</f>
        <v/>
      </c>
      <c r="L23" s="54" t="str">
        <f>IF(AND('Mapa final'!$AL$25="Alta",'Mapa final'!$AN$25="Leve"),CONCATENATE("R2C",'Mapa final'!$U$25),"")</f>
        <v/>
      </c>
      <c r="M23" s="54" t="str">
        <f>IF(AND('Mapa final'!$AL$26="Alta",'Mapa final'!$AN$26="Leve"),CONCATENATE("R2C",'Mapa final'!$U$26),"")</f>
        <v/>
      </c>
      <c r="N23" s="54" t="str">
        <f>IF(AND('Mapa final'!$AL$27="Alta",'Mapa final'!$AN$27="Leve"),CONCATENATE("R2C",'Mapa final'!$U$27),"")</f>
        <v/>
      </c>
      <c r="O23" s="54" t="str">
        <f>IF(AND('Mapa final'!$AL$28="Alta",'Mapa final'!$AN$28="Leve"),CONCATENATE("R2C",'Mapa final'!$U$28),"")</f>
        <v/>
      </c>
      <c r="P23" s="55" t="str">
        <f>IF(AND('Mapa final'!$AL$29="Alta",'Mapa final'!$AN$29="Leve"),CONCATENATE("R2C",'Mapa final'!$U$29),"")</f>
        <v/>
      </c>
      <c r="Q23" s="53" t="str">
        <f>IF(AND('Mapa final'!$AL$24="Alta",'Mapa final'!$AN$24="Menor"),CONCATENATE("R2C",'Mapa final'!$U$24),"")</f>
        <v/>
      </c>
      <c r="R23" s="54" t="str">
        <f>IF(AND('Mapa final'!$AL$25="Alta",'Mapa final'!$AN$25="Menor"),CONCATENATE("R2C",'Mapa final'!$U$25),"")</f>
        <v/>
      </c>
      <c r="S23" s="54" t="str">
        <f>IF(AND('Mapa final'!$AL$26="Alta",'Mapa final'!$AN$26="Menor"),CONCATENATE("R2C",'Mapa final'!$U$26),"")</f>
        <v/>
      </c>
      <c r="T23" s="54" t="str">
        <f>IF(AND('Mapa final'!$AL$27="Alta",'Mapa final'!$AN$27="Menor"),CONCATENATE("R2C",'Mapa final'!$U$27),"")</f>
        <v/>
      </c>
      <c r="U23" s="54" t="str">
        <f>IF(AND('Mapa final'!$AL$28="Alta",'Mapa final'!$AN$28="Menor"),CONCATENATE("R2C",'Mapa final'!$U$28),"")</f>
        <v/>
      </c>
      <c r="V23" s="55" t="str">
        <f>IF(AND('Mapa final'!$AL$29="Alta",'Mapa final'!$AN$29="Menor"),CONCATENATE("R2C",'Mapa final'!$U$29),"")</f>
        <v/>
      </c>
      <c r="W23" s="38" t="str">
        <f>IF(AND('Mapa final'!$AL$24="Alta",'Mapa final'!$AN$24="Moderado"),CONCATENATE("R2C",'Mapa final'!$U$24),"")</f>
        <v/>
      </c>
      <c r="X23" s="39" t="str">
        <f>IF(AND('Mapa final'!$AL$25="Alta",'Mapa final'!$AN$25="Moderado"),CONCATENATE("R2C",'Mapa final'!$U$25),"")</f>
        <v/>
      </c>
      <c r="Y23" s="39" t="str">
        <f>IF(AND('Mapa final'!$AL$26="Alta",'Mapa final'!$AN$26="Moderado"),CONCATENATE("R2C",'Mapa final'!$U$26),"")</f>
        <v/>
      </c>
      <c r="Z23" s="39" t="str">
        <f>IF(AND('Mapa final'!$AL$27="Alta",'Mapa final'!$AN$27="Moderado"),CONCATENATE("R2C",'Mapa final'!$U$27),"")</f>
        <v/>
      </c>
      <c r="AA23" s="39" t="str">
        <f>IF(AND('Mapa final'!$AL$28="Alta",'Mapa final'!$AN$28="Moderado"),CONCATENATE("R2C",'Mapa final'!$U$28),"")</f>
        <v/>
      </c>
      <c r="AB23" s="40" t="str">
        <f>IF(AND('Mapa final'!$AL$29="Alta",'Mapa final'!$AN$29="Moderado"),CONCATENATE("R2C",'Mapa final'!$U$29),"")</f>
        <v/>
      </c>
      <c r="AC23" s="38" t="str">
        <f>IF(AND('Mapa final'!$AL$24="Alta",'Mapa final'!$AN$24="Mayor"),CONCATENATE("R2C",'Mapa final'!$U$24),"")</f>
        <v/>
      </c>
      <c r="AD23" s="39" t="str">
        <f>IF(AND('Mapa final'!$AL$25="Alta",'Mapa final'!$AN$25="Mayor"),CONCATENATE("R2C",'Mapa final'!$U$25),"")</f>
        <v/>
      </c>
      <c r="AE23" s="39" t="str">
        <f>IF(AND('Mapa final'!$AL$26="Alta",'Mapa final'!$AN$26="Mayor"),CONCATENATE("R2C",'Mapa final'!$U$26),"")</f>
        <v/>
      </c>
      <c r="AF23" s="39" t="str">
        <f>IF(AND('Mapa final'!$AL$27="Alta",'Mapa final'!$AN$27="Mayor"),CONCATENATE("R2C",'Mapa final'!$U$27),"")</f>
        <v/>
      </c>
      <c r="AG23" s="39" t="str">
        <f>IF(AND('Mapa final'!$AL$28="Alta",'Mapa final'!$AN$28="Mayor"),CONCATENATE("R2C",'Mapa final'!$U$28),"")</f>
        <v/>
      </c>
      <c r="AH23" s="40" t="str">
        <f>IF(AND('Mapa final'!$AL$29="Alta",'Mapa final'!$AN$29="Mayor"),CONCATENATE("R2C",'Mapa final'!$U$29),"")</f>
        <v/>
      </c>
      <c r="AI23" s="41" t="str">
        <f>IF(AND('Mapa final'!$AL$24="Alta",'Mapa final'!$AN$24="Catastrófico"),CONCATENATE("R2C",'Mapa final'!$U$24),"")</f>
        <v/>
      </c>
      <c r="AJ23" s="42" t="str">
        <f>IF(AND('Mapa final'!$AL$25="Alta",'Mapa final'!$AN$25="Catastrófico"),CONCATENATE("R2C",'Mapa final'!$U$25),"")</f>
        <v/>
      </c>
      <c r="AK23" s="42" t="str">
        <f>IF(AND('Mapa final'!$AL$26="Alta",'Mapa final'!$AN$26="Catastrófico"),CONCATENATE("R2C",'Mapa final'!$U$26),"")</f>
        <v/>
      </c>
      <c r="AL23" s="42" t="str">
        <f>IF(AND('Mapa final'!$AL$27="Alta",'Mapa final'!$AN$27="Catastrófico"),CONCATENATE("R2C",'Mapa final'!$U$27),"")</f>
        <v/>
      </c>
      <c r="AM23" s="42" t="str">
        <f>IF(AND('Mapa final'!$AL$28="Alta",'Mapa final'!$AN$28="Catastrófico"),CONCATENATE("R2C",'Mapa final'!$U$28),"")</f>
        <v/>
      </c>
      <c r="AN23" s="43" t="str">
        <f>IF(AND('Mapa final'!$AL$29="Alta",'Mapa final'!$AN$29="Catastrófico"),CONCATENATE("R2C",'Mapa final'!$U$29),"")</f>
        <v/>
      </c>
      <c r="AO23" s="69"/>
      <c r="AP23" s="480"/>
      <c r="AQ23" s="481"/>
      <c r="AR23" s="481"/>
      <c r="AS23" s="481"/>
      <c r="AT23" s="481"/>
      <c r="AU23" s="482"/>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81"/>
      <c r="D24" s="381"/>
      <c r="E24" s="382"/>
      <c r="F24" s="471"/>
      <c r="G24" s="472"/>
      <c r="H24" s="472"/>
      <c r="I24" s="472"/>
      <c r="J24" s="472"/>
      <c r="K24" s="53" t="str">
        <f>IF(AND('Mapa final'!$AL$30="Alta",'Mapa final'!$AN$30="Leve"),CONCATENATE("R2C",'Mapa final'!$U$30),"")</f>
        <v/>
      </c>
      <c r="L24" s="54" t="str">
        <f>IF(AND('Mapa final'!$AL$31="Alta",'Mapa final'!$AN$31="Leve"),CONCATENATE("R2C",'Mapa final'!$U$31),"")</f>
        <v/>
      </c>
      <c r="M24" s="54" t="str">
        <f>IF(AND('Mapa final'!$AL$32="Alta",'Mapa final'!$AN$32="Leve"),CONCATENATE("R2C",'Mapa final'!$U$32),"")</f>
        <v/>
      </c>
      <c r="N24" s="54" t="str">
        <f>IF(AND('Mapa final'!$AL$33="Alta",'Mapa final'!$AN$33="Leve"),CONCATENATE("R2C",'Mapa final'!$U$33),"")</f>
        <v/>
      </c>
      <c r="O24" s="54" t="str">
        <f>IF(AND('Mapa final'!$AL$34="Alta",'Mapa final'!$AN$34="Leve"),CONCATENATE("R2C",'Mapa final'!$U$34),"")</f>
        <v/>
      </c>
      <c r="P24" s="55" t="str">
        <f>IF(AND('Mapa final'!$AL$35="Alta",'Mapa final'!$AN$35="Leve"),CONCATENATE("R2C",'Mapa final'!$U$35),"")</f>
        <v/>
      </c>
      <c r="Q24" s="53" t="str">
        <f>IF(AND('Mapa final'!$AL$30="Alta",'Mapa final'!$AN$30="Menor"),CONCATENATE("R2C",'Mapa final'!$U$30),"")</f>
        <v/>
      </c>
      <c r="R24" s="54" t="str">
        <f>IF(AND('Mapa final'!$AL$31="Alta",'Mapa final'!$AN$31="Menor"),CONCATENATE("R2C",'Mapa final'!$U$31),"")</f>
        <v/>
      </c>
      <c r="S24" s="54" t="str">
        <f>IF(AND('Mapa final'!$AL$32="Alta",'Mapa final'!$AN$32="Menor"),CONCATENATE("R2C",'Mapa final'!$U$32),"")</f>
        <v/>
      </c>
      <c r="T24" s="54" t="str">
        <f>IF(AND('Mapa final'!$AL$33="Alta",'Mapa final'!$AN$33="Menor"),CONCATENATE("R2C",'Mapa final'!$U$33),"")</f>
        <v/>
      </c>
      <c r="U24" s="54" t="str">
        <f>IF(AND('Mapa final'!$AL$34="Alta",'Mapa final'!$AN$34="Menor"),CONCATENATE("R2C",'Mapa final'!$U$34),"")</f>
        <v/>
      </c>
      <c r="V24" s="55" t="str">
        <f>IF(AND('Mapa final'!$AL$35="Alta",'Mapa final'!$AN$35="Menor"),CONCATENATE("R2C",'Mapa final'!$U$35),"")</f>
        <v/>
      </c>
      <c r="W24" s="38" t="str">
        <f>IF(AND('Mapa final'!$AL$30="Alta",'Mapa final'!$AN$30="Moderado"),CONCATENATE("R2C",'Mapa final'!$U$30),"")</f>
        <v/>
      </c>
      <c r="X24" s="39" t="str">
        <f>IF(AND('Mapa final'!$AL$31="Alta",'Mapa final'!$AN$31="Moderado"),CONCATENATE("R2C",'Mapa final'!$U$31),"")</f>
        <v/>
      </c>
      <c r="Y24" s="39" t="str">
        <f>IF(AND('Mapa final'!$AL$32="Alta",'Mapa final'!$AN$32="Moderado"),CONCATENATE("R2C",'Mapa final'!$U$32),"")</f>
        <v/>
      </c>
      <c r="Z24" s="39" t="str">
        <f>IF(AND('Mapa final'!$AL$33="Alta",'Mapa final'!$AN$33="Moderado"),CONCATENATE("R2C",'Mapa final'!$U$33),"")</f>
        <v/>
      </c>
      <c r="AA24" s="39" t="str">
        <f>IF(AND('Mapa final'!$AL$34="Alta",'Mapa final'!$AN$34="Moderado"),CONCATENATE("R2C",'Mapa final'!$U$34),"")</f>
        <v/>
      </c>
      <c r="AB24" s="40" t="str">
        <f>IF(AND('Mapa final'!$AL$35="Alta",'Mapa final'!$AN$35="Moderado"),CONCATENATE("R2C",'Mapa final'!$U$35),"")</f>
        <v/>
      </c>
      <c r="AC24" s="38" t="str">
        <f>IF(AND('Mapa final'!$AL$30="Alta",'Mapa final'!$AN$30="Mayor"),CONCATENATE("R2C",'Mapa final'!$U$30),"")</f>
        <v/>
      </c>
      <c r="AD24" s="39" t="str">
        <f>IF(AND('Mapa final'!$AL$31="Alta",'Mapa final'!$AN$31="Mayor"),CONCATENATE("R2C",'Mapa final'!$U$31),"")</f>
        <v/>
      </c>
      <c r="AE24" s="39" t="str">
        <f>IF(AND('Mapa final'!$AL$32="Alta",'Mapa final'!$AN$32="Mayor"),CONCATENATE("R2C",'Mapa final'!$U$32),"")</f>
        <v/>
      </c>
      <c r="AF24" s="39" t="str">
        <f>IF(AND('Mapa final'!$AL$33="Alta",'Mapa final'!$AN$33="Mayor"),CONCATENATE("R2C",'Mapa final'!$U$33),"")</f>
        <v/>
      </c>
      <c r="AG24" s="39" t="str">
        <f>IF(AND('Mapa final'!$AL$34="Alta",'Mapa final'!$AN$34="Mayor"),CONCATENATE("R2C",'Mapa final'!$U$34),"")</f>
        <v/>
      </c>
      <c r="AH24" s="40" t="str">
        <f>IF(AND('Mapa final'!$AL$35="Alta",'Mapa final'!$AN$35="Mayor"),CONCATENATE("R2C",'Mapa final'!$U$35),"")</f>
        <v/>
      </c>
      <c r="AI24" s="41" t="str">
        <f>IF(AND('Mapa final'!$AL$30="Alta",'Mapa final'!$AN$30="Catastrófico"),CONCATENATE("R2C",'Mapa final'!$U$30),"")</f>
        <v/>
      </c>
      <c r="AJ24" s="42" t="str">
        <f>IF(AND('Mapa final'!$AL$31="Alta",'Mapa final'!$AN$31="Catastrófico"),CONCATENATE("R2C",'Mapa final'!$U$31),"")</f>
        <v/>
      </c>
      <c r="AK24" s="42" t="str">
        <f>IF(AND('Mapa final'!$AL$32="Alta",'Mapa final'!$AN$32="Catastrófico"),CONCATENATE("R2C",'Mapa final'!$U$32),"")</f>
        <v/>
      </c>
      <c r="AL24" s="42" t="str">
        <f>IF(AND('Mapa final'!$AL$33="Alta",'Mapa final'!$AN$33="Catastrófico"),CONCATENATE("R2C",'Mapa final'!$U$33),"")</f>
        <v/>
      </c>
      <c r="AM24" s="42" t="str">
        <f>IF(AND('Mapa final'!$AL$34="Alta",'Mapa final'!$AN$34="Catastrófico"),CONCATENATE("R2C",'Mapa final'!$U$34),"")</f>
        <v/>
      </c>
      <c r="AN24" s="43" t="str">
        <f>IF(AND('Mapa final'!$AL$35="Alta",'Mapa final'!$AN$35="Catastrófico"),CONCATENATE("R2C",'Mapa final'!$U$35),"")</f>
        <v/>
      </c>
      <c r="AO24" s="69"/>
      <c r="AP24" s="480"/>
      <c r="AQ24" s="481"/>
      <c r="AR24" s="481"/>
      <c r="AS24" s="481"/>
      <c r="AT24" s="481"/>
      <c r="AU24" s="482"/>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81"/>
      <c r="D25" s="381"/>
      <c r="E25" s="382"/>
      <c r="F25" s="471"/>
      <c r="G25" s="472"/>
      <c r="H25" s="472"/>
      <c r="I25" s="472"/>
      <c r="J25" s="472"/>
      <c r="K25" s="53" t="str">
        <f>IF(AND('Mapa final'!$AL$36="Alta",'Mapa final'!$AN$36="Leve"),CONCATENATE("R2C",'Mapa final'!$U$36),"")</f>
        <v/>
      </c>
      <c r="L25" s="54" t="str">
        <f>IF(AND('Mapa final'!$AL$37="Alta",'Mapa final'!$AN$37="Leve"),CONCATENATE("R2C",'Mapa final'!$U$37),"")</f>
        <v/>
      </c>
      <c r="M25" s="54" t="str">
        <f>IF(AND('Mapa final'!$AL$38="Alta",'Mapa final'!$AN$38="Leve"),CONCATENATE("R2C",'Mapa final'!$U$38),"")</f>
        <v/>
      </c>
      <c r="N25" s="54" t="str">
        <f>IF(AND('Mapa final'!$AL$39="Alta",'Mapa final'!$AN$39="Leve"),CONCATENATE("R2C",'Mapa final'!$U$39),"")</f>
        <v/>
      </c>
      <c r="O25" s="54" t="str">
        <f>IF(AND('Mapa final'!$AL$40="Alta",'Mapa final'!$AN$40="Leve"),CONCATENATE("R2C",'Mapa final'!$U$40),"")</f>
        <v/>
      </c>
      <c r="P25" s="55" t="str">
        <f>IF(AND('Mapa final'!$AL$41="Alta",'Mapa final'!$AN$41="Leve"),CONCATENATE("R2C",'Mapa final'!$U$41),"")</f>
        <v/>
      </c>
      <c r="Q25" s="53" t="str">
        <f>IF(AND('Mapa final'!$AL$36="Alta",'Mapa final'!$AN$36="Menor"),CONCATENATE("R2C",'Mapa final'!$U$36),"")</f>
        <v/>
      </c>
      <c r="R25" s="54" t="str">
        <f>IF(AND('Mapa final'!$AL$37="Alta",'Mapa final'!$AN$37="Menor"),CONCATENATE("R2C",'Mapa final'!$U$37),"")</f>
        <v/>
      </c>
      <c r="S25" s="54" t="str">
        <f>IF(AND('Mapa final'!$AL$38="Alta",'Mapa final'!$AN$38="Menor"),CONCATENATE("R2C",'Mapa final'!$U$38),"")</f>
        <v/>
      </c>
      <c r="T25" s="54" t="str">
        <f>IF(AND('Mapa final'!$AL$39="Alta",'Mapa final'!$AN$39="Menor"),CONCATENATE("R2C",'Mapa final'!$U$39),"")</f>
        <v/>
      </c>
      <c r="U25" s="54" t="str">
        <f>IF(AND('Mapa final'!$AL$40="Alta",'Mapa final'!$AN$40="LMenor"),CONCATENATE("R2C",'Mapa final'!$U$40),"")</f>
        <v/>
      </c>
      <c r="V25" s="55" t="str">
        <f>IF(AND('Mapa final'!$AL$41="Alta",'Mapa final'!$AN$41="Menor"),CONCATENATE("R2C",'Mapa final'!$U$41),"")</f>
        <v/>
      </c>
      <c r="W25" s="38" t="str">
        <f>IF(AND('Mapa final'!$AL$36="Alta",'Mapa final'!$AN$36="Moderado"),CONCATENATE("R2C",'Mapa final'!$U$36),"")</f>
        <v/>
      </c>
      <c r="X25" s="39" t="str">
        <f>IF(AND('Mapa final'!$AL$37="Alta",'Mapa final'!$AN$37="Moderado"),CONCATENATE("R2C",'Mapa final'!$U$37),"")</f>
        <v/>
      </c>
      <c r="Y25" s="39" t="str">
        <f>IF(AND('Mapa final'!$AL$38="Alta",'Mapa final'!$AN$38="Moderado"),CONCATENATE("R2C",'Mapa final'!$U$38),"")</f>
        <v/>
      </c>
      <c r="Z25" s="39" t="str">
        <f>IF(AND('Mapa final'!$AL$39="Alta",'Mapa final'!$AN$39="Moderado"),CONCATENATE("R2C",'Mapa final'!$U$39),"")</f>
        <v/>
      </c>
      <c r="AA25" s="39" t="str">
        <f>IF(AND('Mapa final'!$AL$40="Alta",'Mapa final'!$AN$40="Moderado"),CONCATENATE("R2C",'Mapa final'!$U$40),"")</f>
        <v/>
      </c>
      <c r="AB25" s="40" t="str">
        <f>IF(AND('Mapa final'!$AL$41="Alta",'Mapa final'!$AN$41="Moderado"),CONCATENATE("R2C",'Mapa final'!$U$41),"")</f>
        <v/>
      </c>
      <c r="AC25" s="38" t="str">
        <f>IF(AND('Mapa final'!$AL$36="Alta",'Mapa final'!$AN$36="Mayor"),CONCATENATE("R2C",'Mapa final'!$U$36),"")</f>
        <v/>
      </c>
      <c r="AD25" s="39" t="str">
        <f>IF(AND('Mapa final'!$AL$37="Alta",'Mapa final'!$AN$37="Mayor"),CONCATENATE("R2C",'Mapa final'!$U$37),"")</f>
        <v/>
      </c>
      <c r="AE25" s="39" t="str">
        <f>IF(AND('Mapa final'!$AL$38="Alta",'Mapa final'!$AN$38="Mayor"),CONCATENATE("R2C",'Mapa final'!$U$38),"")</f>
        <v/>
      </c>
      <c r="AF25" s="39" t="str">
        <f>IF(AND('Mapa final'!$AL$39="Alta",'Mapa final'!$AN$39="Mayor"),CONCATENATE("R2C",'Mapa final'!$U$39),"")</f>
        <v/>
      </c>
      <c r="AG25" s="39" t="str">
        <f>IF(AND('Mapa final'!$AL$40="Alta",'Mapa final'!$AN$40="Mayor"),CONCATENATE("R2C",'Mapa final'!$U$40),"")</f>
        <v/>
      </c>
      <c r="AH25" s="40" t="str">
        <f>IF(AND('Mapa final'!$AL$41="Alta",'Mapa final'!$AN$41="Mayor"),CONCATENATE("R2C",'Mapa final'!$U$41),"")</f>
        <v/>
      </c>
      <c r="AI25" s="41" t="str">
        <f>IF(AND('Mapa final'!$AL$36="Alta",'Mapa final'!$AN$36="Catastrófico"),CONCATENATE("R2C",'Mapa final'!$U$36),"")</f>
        <v/>
      </c>
      <c r="AJ25" s="42" t="str">
        <f>IF(AND('Mapa final'!$AL$37="Alta",'Mapa final'!$AN$37="Catastrófico"),CONCATENATE("R2C",'Mapa final'!$U$37),"")</f>
        <v/>
      </c>
      <c r="AK25" s="42" t="str">
        <f>IF(AND('Mapa final'!$AL$38="Alta",'Mapa final'!$AN$38="Catastrófico"),CONCATENATE("R2C",'Mapa final'!$U$38),"")</f>
        <v/>
      </c>
      <c r="AL25" s="42" t="str">
        <f>IF(AND('Mapa final'!$AL$39="Alta",'Mapa final'!$AN$39="Catastrófico"),CONCATENATE("R2C",'Mapa final'!$U$39),"")</f>
        <v/>
      </c>
      <c r="AM25" s="42" t="str">
        <f>IF(AND('Mapa final'!$AL$40="Alta",'Mapa final'!$AN$40="LCatastrófico"),CONCATENATE("R2C",'Mapa final'!$U$40),"")</f>
        <v/>
      </c>
      <c r="AN25" s="43" t="str">
        <f>IF(AND('Mapa final'!$AL$41="Alta",'Mapa final'!$AN$41="Catastrófico"),CONCATENATE("R2C",'Mapa final'!$U$41),"")</f>
        <v/>
      </c>
      <c r="AO25" s="69"/>
      <c r="AP25" s="480"/>
      <c r="AQ25" s="481"/>
      <c r="AR25" s="481"/>
      <c r="AS25" s="481"/>
      <c r="AT25" s="481"/>
      <c r="AU25" s="482"/>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81"/>
      <c r="D26" s="381"/>
      <c r="E26" s="382"/>
      <c r="F26" s="471"/>
      <c r="G26" s="472"/>
      <c r="H26" s="472"/>
      <c r="I26" s="472"/>
      <c r="J26" s="472"/>
      <c r="K26" s="53" t="str">
        <f>IF(AND('Mapa final'!$AL$42="Alta",'Mapa final'!$AN$42="Leve"),CONCATENATE("R2C",'Mapa final'!$U$42),"")</f>
        <v/>
      </c>
      <c r="L26" s="54" t="str">
        <f>IF(AND('Mapa final'!$AL$43="Alta",'Mapa final'!$AN$43="Leve"),CONCATENATE("R2C",'Mapa final'!$U$43),"")</f>
        <v/>
      </c>
      <c r="M26" s="54" t="str">
        <f>IF(AND('Mapa final'!$AL$44="Alta",'Mapa final'!$AN$44="Leve"),CONCATENATE("R2C",'Mapa final'!$U$44),"")</f>
        <v/>
      </c>
      <c r="N26" s="54" t="str">
        <f>IF(AND('Mapa final'!$AL$45="Alta",'Mapa final'!$AN$45="Leve"),CONCATENATE("R2C",'Mapa final'!$U$45),"")</f>
        <v/>
      </c>
      <c r="O26" s="54" t="str">
        <f>IF(AND('Mapa final'!$AL$46="Alta",'Mapa final'!$AN$46="Leve"),CONCATENATE("R2C",'Mapa final'!$U$46),"")</f>
        <v/>
      </c>
      <c r="P26" s="55" t="str">
        <f>IF(AND('Mapa final'!$AL$47="Alta",'Mapa final'!$AN$47="Leve"),CONCATENATE("R2C",'Mapa final'!$U$47),"")</f>
        <v/>
      </c>
      <c r="Q26" s="53" t="str">
        <f>IF(AND('Mapa final'!$AL$42="Alta",'Mapa final'!$AN$42="Menor"),CONCATENATE("R2C",'Mapa final'!$U$42),"")</f>
        <v/>
      </c>
      <c r="R26" s="54" t="str">
        <f>IF(AND('Mapa final'!$AL$43="Alta",'Mapa final'!$AN$43="Menor"),CONCATENATE("R2C",'Mapa final'!$U$43),"")</f>
        <v/>
      </c>
      <c r="S26" s="54" t="str">
        <f>IF(AND('Mapa final'!$AL$44="Alta",'Mapa final'!$AN$44="Menor"),CONCATENATE("R2C",'Mapa final'!$U$44),"")</f>
        <v/>
      </c>
      <c r="T26" s="54" t="str">
        <f>IF(AND('Mapa final'!$AL$45="Alta",'Mapa final'!$AN$45="Menor"),CONCATENATE("R2C",'Mapa final'!$U$45),"")</f>
        <v/>
      </c>
      <c r="U26" s="54" t="str">
        <f>IF(AND('Mapa final'!$AL$46="Alta",'Mapa final'!$AN$46="Menor"),CONCATENATE("R2C",'Mapa final'!$U$46),"")</f>
        <v/>
      </c>
      <c r="V26" s="55" t="str">
        <f>IF(AND('Mapa final'!$AL$47="Alta",'Mapa final'!$AN$47="Menor"),CONCATENATE("R2C",'Mapa final'!$U$47),"")</f>
        <v/>
      </c>
      <c r="W26" s="38" t="str">
        <f>IF(AND('Mapa final'!$AL$42="Alta",'Mapa final'!$AN$42="Moderado"),CONCATENATE("R2C",'Mapa final'!$U$42),"")</f>
        <v/>
      </c>
      <c r="X26" s="39" t="str">
        <f>IF(AND('Mapa final'!$AL$43="Alta",'Mapa final'!$AN$43="Moderado"),CONCATENATE("R2C",'Mapa final'!$U$43),"")</f>
        <v/>
      </c>
      <c r="Y26" s="39" t="str">
        <f>IF(AND('Mapa final'!$AL$44="Alta",'Mapa final'!$AN$44="Moderado"),CONCATENATE("R2C",'Mapa final'!$U$44),"")</f>
        <v/>
      </c>
      <c r="Z26" s="39" t="str">
        <f>IF(AND('Mapa final'!$AL$45="Alta",'Mapa final'!$AN$45="Moderado"),CONCATENATE("R2C",'Mapa final'!$U$45),"")</f>
        <v/>
      </c>
      <c r="AA26" s="39" t="str">
        <f>IF(AND('Mapa final'!$AL$46="Alta",'Mapa final'!$AN$46="Moderado"),CONCATENATE("R2C",'Mapa final'!$U$46),"")</f>
        <v/>
      </c>
      <c r="AB26" s="40" t="str">
        <f>IF(AND('Mapa final'!$AL$47="Alta",'Mapa final'!$AN$47="Moderado"),CONCATENATE("R2C",'Mapa final'!$U$47),"")</f>
        <v/>
      </c>
      <c r="AC26" s="38" t="str">
        <f>IF(AND('Mapa final'!$AL$42="Alta",'Mapa final'!$AN$42="Mayor"),CONCATENATE("R2C",'Mapa final'!$U$42),"")</f>
        <v/>
      </c>
      <c r="AD26" s="39" t="str">
        <f>IF(AND('Mapa final'!$AL$43="Alta",'Mapa final'!$AN$43="Mayor"),CONCATENATE("R2C",'Mapa final'!$U$43),"")</f>
        <v/>
      </c>
      <c r="AE26" s="39" t="str">
        <f>IF(AND('Mapa final'!$AL$44="Alta",'Mapa final'!$AN$44="Mayor"),CONCATENATE("R2C",'Mapa final'!$U$44),"")</f>
        <v/>
      </c>
      <c r="AF26" s="39" t="str">
        <f>IF(AND('Mapa final'!$AL$45="Alta",'Mapa final'!$AN$45="Mayor"),CONCATENATE("R2C",'Mapa final'!$U$45),"")</f>
        <v/>
      </c>
      <c r="AG26" s="39" t="str">
        <f>IF(AND('Mapa final'!$AL$46="Alta",'Mapa final'!$AN$46="Mayor"),CONCATENATE("R2C",'Mapa final'!$U$46),"")</f>
        <v/>
      </c>
      <c r="AH26" s="40" t="str">
        <f>IF(AND('Mapa final'!$AL$47="Alta",'Mapa final'!$AN$47="Mayor"),CONCATENATE("R2C",'Mapa final'!$U$47),"")</f>
        <v/>
      </c>
      <c r="AI26" s="41" t="str">
        <f>IF(AND('Mapa final'!$AL$42="Alta",'Mapa final'!$AN$42="Catastrófico"),CONCATENATE("R2C",'Mapa final'!$U$42),"")</f>
        <v/>
      </c>
      <c r="AJ26" s="42" t="str">
        <f>IF(AND('Mapa final'!$AL$43="Alta",'Mapa final'!$AN$43="Catastrófico"),CONCATENATE("R2C",'Mapa final'!$U$43),"")</f>
        <v/>
      </c>
      <c r="AK26" s="42" t="str">
        <f>IF(AND('Mapa final'!$AL$44="Alta",'Mapa final'!$AN$44="Catastrófico"),CONCATENATE("R2C",'Mapa final'!$U$44),"")</f>
        <v/>
      </c>
      <c r="AL26" s="42" t="str">
        <f>IF(AND('Mapa final'!$AL$45="Alta",'Mapa final'!$AN$45="Catastrófico"),CONCATENATE("R2C",'Mapa final'!$U$45),"")</f>
        <v/>
      </c>
      <c r="AM26" s="42" t="str">
        <f>IF(AND('Mapa final'!$AL$46="Alta",'Mapa final'!$AN$46="Catastrófico"),CONCATENATE("R2C",'Mapa final'!$U$46),"")</f>
        <v/>
      </c>
      <c r="AN26" s="43" t="str">
        <f>IF(AND('Mapa final'!$AL$47="Alta",'Mapa final'!$AN$47="Catastrófico"),CONCATENATE("R2C",'Mapa final'!$U$47),"")</f>
        <v/>
      </c>
      <c r="AO26" s="69"/>
      <c r="AP26" s="480"/>
      <c r="AQ26" s="481"/>
      <c r="AR26" s="481"/>
      <c r="AS26" s="481"/>
      <c r="AT26" s="481"/>
      <c r="AU26" s="482"/>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81"/>
      <c r="D27" s="381"/>
      <c r="E27" s="382"/>
      <c r="F27" s="471"/>
      <c r="G27" s="472"/>
      <c r="H27" s="472"/>
      <c r="I27" s="472"/>
      <c r="J27" s="472"/>
      <c r="K27" s="53" t="str">
        <f>IF(AND('Mapa final'!$AL$48="Alta",'Mapa final'!$AN$48="Leve"),CONCATENATE("R2C",'Mapa final'!$U$48),"")</f>
        <v/>
      </c>
      <c r="L27" s="54" t="str">
        <f>IF(AND('Mapa final'!$AL$49="Alta",'Mapa final'!$AN$49="Leve"),CONCATENATE("R2C",'Mapa final'!$U$49),"")</f>
        <v/>
      </c>
      <c r="M27" s="54" t="str">
        <f>IF(AND('Mapa final'!$AL$50="Alta",'Mapa final'!$AN$50="Leve"),CONCATENATE("R2C",'Mapa final'!$U$50),"")</f>
        <v/>
      </c>
      <c r="N27" s="54" t="str">
        <f>IF(AND('Mapa final'!$AL$51="Alta",'Mapa final'!$AN$51="Leve"),CONCATENATE("R2C",'Mapa final'!$U$51),"")</f>
        <v/>
      </c>
      <c r="O27" s="54" t="str">
        <f>IF(AND('Mapa final'!$AL$52="Alta",'Mapa final'!$AN$52="Leve"),CONCATENATE("R2C",'Mapa final'!$U$52),"")</f>
        <v/>
      </c>
      <c r="P27" s="55" t="str">
        <f>IF(AND('Mapa final'!$AL$63="Alta",'Mapa final'!$AN$53="Leve"),CONCATENATE("R2C",'Mapa final'!$U$53),"")</f>
        <v/>
      </c>
      <c r="Q27" s="53" t="str">
        <f>IF(AND('Mapa final'!$AL$48="Alta",'Mapa final'!$AN$48="Menor"),CONCATENATE("R2C",'Mapa final'!$U$48),"")</f>
        <v/>
      </c>
      <c r="R27" s="54" t="str">
        <f>IF(AND('Mapa final'!$AL$49="Alta",'Mapa final'!$AN$49="Menor"),CONCATENATE("R2C",'Mapa final'!$U$49),"")</f>
        <v/>
      </c>
      <c r="S27" s="54" t="str">
        <f>IF(AND('Mapa final'!$AL$50="Alta",'Mapa final'!$AN$50="Menor"),CONCATENATE("R2C",'Mapa final'!$U$50),"")</f>
        <v/>
      </c>
      <c r="T27" s="54" t="str">
        <f>IF(AND('Mapa final'!$AL$51="Alta",'Mapa final'!$AN$51="Menor"),CONCATENATE("R2C",'Mapa final'!$U$51),"")</f>
        <v/>
      </c>
      <c r="U27" s="54" t="str">
        <f>IF(AND('Mapa final'!$AL$52="Alta",'Mapa final'!$AN$52="Menor"),CONCATENATE("R2C",'Mapa final'!$U$52),"")</f>
        <v/>
      </c>
      <c r="V27" s="55" t="str">
        <f>IF(AND('Mapa final'!$AL$63="Alta",'Mapa final'!$AN$53="Menor"),CONCATENATE("R2C",'Mapa final'!$U$53),"")</f>
        <v/>
      </c>
      <c r="W27" s="38" t="str">
        <f>IF(AND('Mapa final'!$AL$48="Alta",'Mapa final'!$AN$48="Moderado"),CONCATENATE("R2C",'Mapa final'!$U$48),"")</f>
        <v/>
      </c>
      <c r="X27" s="39" t="str">
        <f>IF(AND('Mapa final'!$AL$49="Alta",'Mapa final'!$AN$49="Moderado"),CONCATENATE("R2C",'Mapa final'!$U$49),"")</f>
        <v/>
      </c>
      <c r="Y27" s="39" t="str">
        <f>IF(AND('Mapa final'!$AL$50="Alta",'Mapa final'!$AN$50="Moderado"),CONCATENATE("R2C",'Mapa final'!$U$50),"")</f>
        <v/>
      </c>
      <c r="Z27" s="39" t="str">
        <f>IF(AND('Mapa final'!$AL$51="Alta",'Mapa final'!$AN$51="Moderado"),CONCATENATE("R2C",'Mapa final'!$U$51),"")</f>
        <v/>
      </c>
      <c r="AA27" s="39" t="str">
        <f>IF(AND('Mapa final'!$AL$52="Alta",'Mapa final'!$AN$52="Moderado"),CONCATENATE("R2C",'Mapa final'!$U$52),"")</f>
        <v/>
      </c>
      <c r="AB27" s="40" t="str">
        <f>IF(AND('Mapa final'!$AL$63="Alta",'Mapa final'!$AN$53="Moderado"),CONCATENATE("R2C",'Mapa final'!$U$53),"")</f>
        <v/>
      </c>
      <c r="AC27" s="38" t="str">
        <f>IF(AND('Mapa final'!$AL$48="Alta",'Mapa final'!$AN$48="Mayor"),CONCATENATE("R2C",'Mapa final'!$U$48),"")</f>
        <v/>
      </c>
      <c r="AD27" s="39" t="str">
        <f>IF(AND('Mapa final'!$AL$49="Alta",'Mapa final'!$AN$49="Mayor"),CONCATENATE("R2C",'Mapa final'!$U$49),"")</f>
        <v/>
      </c>
      <c r="AE27" s="39" t="str">
        <f>IF(AND('Mapa final'!$AL$50="Alta",'Mapa final'!$AN$50="Mayor"),CONCATENATE("R2C",'Mapa final'!$U$50),"")</f>
        <v/>
      </c>
      <c r="AF27" s="39" t="str">
        <f>IF(AND('Mapa final'!$AL$51="Alta",'Mapa final'!$AN$51="Mayor"),CONCATENATE("R2C",'Mapa final'!$U$51),"")</f>
        <v/>
      </c>
      <c r="AG27" s="39" t="str">
        <f>IF(AND('Mapa final'!$AL$52="Alta",'Mapa final'!$AN$52="Mayor"),CONCATENATE("R2C",'Mapa final'!$U$52),"")</f>
        <v/>
      </c>
      <c r="AH27" s="40" t="str">
        <f>IF(AND('Mapa final'!$AL$63="Alta",'Mapa final'!$AN$53="Mayor"),CONCATENATE("R2C",'Mapa final'!$U$53),"")</f>
        <v/>
      </c>
      <c r="AI27" s="41" t="str">
        <f>IF(AND('Mapa final'!$AL$48="Alta",'Mapa final'!$AN$48="Catastrófico"),CONCATENATE("R2C",'Mapa final'!$U$48),"")</f>
        <v/>
      </c>
      <c r="AJ27" s="42" t="str">
        <f>IF(AND('Mapa final'!$AL$49="Alta",'Mapa final'!$AN$49="Catastrófico"),CONCATENATE("R2C",'Mapa final'!$U$49),"")</f>
        <v/>
      </c>
      <c r="AK27" s="42" t="str">
        <f>IF(AND('Mapa final'!$AL$50="Alta",'Mapa final'!$AN$50="Catastrófico"),CONCATENATE("R2C",'Mapa final'!$U$50),"")</f>
        <v/>
      </c>
      <c r="AL27" s="42" t="str">
        <f>IF(AND('Mapa final'!$AL$51="Alta",'Mapa final'!$AN$51="Catastrófico"),CONCATENATE("R2C",'Mapa final'!$U$51),"")</f>
        <v/>
      </c>
      <c r="AM27" s="42" t="str">
        <f>IF(AND('Mapa final'!$AL$52="Alta",'Mapa final'!$AN$52="Catastrófico"),CONCATENATE("R2C",'Mapa final'!$U$52),"")</f>
        <v/>
      </c>
      <c r="AN27" s="43" t="str">
        <f>IF(AND('Mapa final'!$AL$63="Alta",'Mapa final'!$AN$53="Catastrófico"),CONCATENATE("R2C",'Mapa final'!$U$53),"")</f>
        <v/>
      </c>
      <c r="AO27" s="69"/>
      <c r="AP27" s="480"/>
      <c r="AQ27" s="481"/>
      <c r="AR27" s="481"/>
      <c r="AS27" s="481"/>
      <c r="AT27" s="481"/>
      <c r="AU27" s="482"/>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81"/>
      <c r="D28" s="381"/>
      <c r="E28" s="382"/>
      <c r="F28" s="471"/>
      <c r="G28" s="472"/>
      <c r="H28" s="472"/>
      <c r="I28" s="472"/>
      <c r="J28" s="472"/>
      <c r="K28" s="53" t="str">
        <f>IF(AND('Mapa final'!$AL$54="Alta",'Mapa final'!$AN$54="Leve"),CONCATENATE("R2C",'Mapa final'!$U$54),"")</f>
        <v/>
      </c>
      <c r="L28" s="54" t="str">
        <f>IF(AND('Mapa final'!$AL$55="Alta",'Mapa final'!$AN$55="Leve"),CONCATENATE("R2C",'Mapa final'!$U$55),"")</f>
        <v/>
      </c>
      <c r="M28" s="54" t="str">
        <f>IF(AND('Mapa final'!$AL$56="Alta",'Mapa final'!$AN$56="Leve"),CONCATENATE("R2C",'Mapa final'!$U$56),"")</f>
        <v/>
      </c>
      <c r="N28" s="54" t="str">
        <f>IF(AND('Mapa final'!$AL$57="Alta",'Mapa final'!$AN$57="Leve"),CONCATENATE("R2C",'Mapa final'!$U$57),"")</f>
        <v/>
      </c>
      <c r="O28" s="54" t="str">
        <f>IF(AND('Mapa final'!$AL$58="Alta",'Mapa final'!$AN$58="Leve"),CONCATENATE("R2C",'Mapa final'!$U$58),"")</f>
        <v/>
      </c>
      <c r="P28" s="55" t="str">
        <f>IF(AND('Mapa final'!$AL$59="Alta",'Mapa final'!$AN$59="Leve"),CONCATENATE("R2C",'Mapa final'!$U$59),"")</f>
        <v/>
      </c>
      <c r="Q28" s="53" t="str">
        <f>IF(AND('Mapa final'!$AL$54="Alta",'Mapa final'!$AN$54="Menor"),CONCATENATE("R2C",'Mapa final'!$U$54),"")</f>
        <v/>
      </c>
      <c r="R28" s="54" t="str">
        <f>IF(AND('Mapa final'!$AL$55="Alta",'Mapa final'!$AN$55="Menor"),CONCATENATE("R2C",'Mapa final'!$U$55),"")</f>
        <v/>
      </c>
      <c r="S28" s="54" t="str">
        <f>IF(AND('Mapa final'!$AL$56="Alta",'Mapa final'!$AN$56="Menor"),CONCATENATE("R2C",'Mapa final'!$U$56),"")</f>
        <v/>
      </c>
      <c r="T28" s="54" t="str">
        <f>IF(AND('Mapa final'!$AL$57="Alta",'Mapa final'!$AN$57="Menor"),CONCATENATE("R2C",'Mapa final'!$U$57),"")</f>
        <v/>
      </c>
      <c r="U28" s="54" t="str">
        <f>IF(AND('Mapa final'!$AL$58="Alta",'Mapa final'!$AN$58="Menor"),CONCATENATE("R2C",'Mapa final'!$U$58),"")</f>
        <v/>
      </c>
      <c r="V28" s="55" t="str">
        <f>IF(AND('Mapa final'!$AL$59="Alta",'Mapa final'!$AN$59="Menor"),CONCATENATE("R2C",'Mapa final'!$U$59),"")</f>
        <v/>
      </c>
      <c r="W28" s="38" t="str">
        <f>IF(AND('Mapa final'!$AL$54="Alta",'Mapa final'!$AN$54="Moderado"),CONCATENATE("R2C",'Mapa final'!$U$54),"")</f>
        <v/>
      </c>
      <c r="X28" s="39" t="str">
        <f>IF(AND('Mapa final'!$AL$55="Alta",'Mapa final'!$AN$55="Moderado"),CONCATENATE("R2C",'Mapa final'!$U$55),"")</f>
        <v/>
      </c>
      <c r="Y28" s="39" t="str">
        <f>IF(AND('Mapa final'!$AL$56="Alta",'Mapa final'!$AN$56="Moderado"),CONCATENATE("R2C",'Mapa final'!$U$56),"")</f>
        <v/>
      </c>
      <c r="Z28" s="39" t="str">
        <f>IF(AND('Mapa final'!$AL$57="Alta",'Mapa final'!$AN$57="Moderado"),CONCATENATE("R2C",'Mapa final'!$U$57),"")</f>
        <v/>
      </c>
      <c r="AA28" s="39" t="str">
        <f>IF(AND('Mapa final'!$AL$58="Alta",'Mapa final'!$AN$58="Moderado"),CONCATENATE("R2C",'Mapa final'!$U$58),"")</f>
        <v/>
      </c>
      <c r="AB28" s="40" t="str">
        <f>IF(AND('Mapa final'!$AL$59="Alta",'Mapa final'!$AN$59="Moderado"),CONCATENATE("R2C",'Mapa final'!$U$59),"")</f>
        <v/>
      </c>
      <c r="AC28" s="38" t="str">
        <f>IF(AND('Mapa final'!$AL$54="Alta",'Mapa final'!$AN$54="Mayor"),CONCATENATE("R2C",'Mapa final'!$U$54),"")</f>
        <v/>
      </c>
      <c r="AD28" s="39" t="str">
        <f>IF(AND('Mapa final'!$AL$55="Alta",'Mapa final'!$AN$55="Mayor"),CONCATENATE("R2C",'Mapa final'!$U$55),"")</f>
        <v/>
      </c>
      <c r="AE28" s="39" t="str">
        <f>IF(AND('Mapa final'!$AL$56="Alta",'Mapa final'!$AN$56="Mayor"),CONCATENATE("R2C",'Mapa final'!$U$56),"")</f>
        <v/>
      </c>
      <c r="AF28" s="39" t="str">
        <f>IF(AND('Mapa final'!$AL$57="Alta",'Mapa final'!$AN$57="Mayor"),CONCATENATE("R2C",'Mapa final'!$U$57),"")</f>
        <v/>
      </c>
      <c r="AG28" s="39" t="str">
        <f>IF(AND('Mapa final'!$AL$58="Alta",'Mapa final'!$AN$58="Mayor"),CONCATENATE("R2C",'Mapa final'!$U$58),"")</f>
        <v/>
      </c>
      <c r="AH28" s="40" t="str">
        <f>IF(AND('Mapa final'!$AL$59="Alta",'Mapa final'!$AN$59="Mayor"),CONCATENATE("R2C",'Mapa final'!$U$59),"")</f>
        <v/>
      </c>
      <c r="AI28" s="41" t="str">
        <f>IF(AND('Mapa final'!$AL$54="Alta",'Mapa final'!$AN$54="Catastrófico"),CONCATENATE("R2C",'Mapa final'!$U$54),"")</f>
        <v/>
      </c>
      <c r="AJ28" s="42" t="str">
        <f>IF(AND('Mapa final'!$AL$55="Alta",'Mapa final'!$AN$55="Catastrófico"),CONCATENATE("R2C",'Mapa final'!$U$55),"")</f>
        <v/>
      </c>
      <c r="AK28" s="42" t="str">
        <f>IF(AND('Mapa final'!$AL$56="Alta",'Mapa final'!$AN$56="Catastrófico"),CONCATENATE("R2C",'Mapa final'!$U$56),"")</f>
        <v/>
      </c>
      <c r="AL28" s="42" t="str">
        <f>IF(AND('Mapa final'!$AL$57="Alta",'Mapa final'!$AN$57="Catastrófico"),CONCATENATE("R2C",'Mapa final'!$U$57),"")</f>
        <v/>
      </c>
      <c r="AM28" s="42" t="str">
        <f>IF(AND('Mapa final'!$AL$58="Alta",'Mapa final'!$AN$58="Catastrófico"),CONCATENATE("R2C",'Mapa final'!$U$58),"")</f>
        <v/>
      </c>
      <c r="AN28" s="43" t="str">
        <f>IF(AND('Mapa final'!$AL$59="Alta",'Mapa final'!$AN$59="Catastrófico"),CONCATENATE("R2C",'Mapa final'!$U$59),"")</f>
        <v/>
      </c>
      <c r="AO28" s="69"/>
      <c r="AP28" s="480"/>
      <c r="AQ28" s="481"/>
      <c r="AR28" s="481"/>
      <c r="AS28" s="481"/>
      <c r="AT28" s="481"/>
      <c r="AU28" s="482"/>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81"/>
      <c r="D29" s="381"/>
      <c r="E29" s="382"/>
      <c r="F29" s="471"/>
      <c r="G29" s="472"/>
      <c r="H29" s="472"/>
      <c r="I29" s="472"/>
      <c r="J29" s="472"/>
      <c r="K29" s="53" t="str">
        <f>IF(AND('Mapa final'!$AL$60="Alta",'Mapa final'!$AN$60="Leve"),CONCATENATE("R2C",'Mapa final'!$U$60),"")</f>
        <v/>
      </c>
      <c r="L29" s="54" t="str">
        <f>IF(AND('Mapa final'!$AL$61="Alta",'Mapa final'!$AN$61="Leve"),CONCATENATE("R2C",'Mapa final'!$U$61),"")</f>
        <v/>
      </c>
      <c r="M29" s="54" t="str">
        <f>IF(AND('Mapa final'!$AL$62="Alta",'Mapa final'!$AN$62="Leve"),CONCATENATE("R2C",'Mapa final'!$U$62),"")</f>
        <v/>
      </c>
      <c r="N29" s="54" t="str">
        <f>IF(AND('Mapa final'!$AL$63="Alta",'Mapa final'!$AN$63="Leve"),CONCATENATE("R2C",'Mapa final'!$U$63),"")</f>
        <v/>
      </c>
      <c r="O29" s="54" t="str">
        <f>IF(AND('Mapa final'!$AL$64="Alta",'Mapa final'!$AN$64="Leve"),CONCATENATE("R2C",'Mapa final'!$U$64),"")</f>
        <v/>
      </c>
      <c r="P29" s="55" t="str">
        <f>IF(AND('Mapa final'!$AL$65="Alta",'Mapa final'!$AN$65="Leve"),CONCATENATE("R2C",'Mapa final'!$U$65),"")</f>
        <v/>
      </c>
      <c r="Q29" s="53" t="str">
        <f>IF(AND('Mapa final'!$AL$60="Alta",'Mapa final'!$AN$60="Menor"),CONCATENATE("R2C",'Mapa final'!$U$60),"")</f>
        <v/>
      </c>
      <c r="R29" s="54" t="str">
        <f>IF(AND('Mapa final'!$AL$61="Alta",'Mapa final'!$AN$61="Menor"),CONCATENATE("R2C",'Mapa final'!$U$61),"")</f>
        <v/>
      </c>
      <c r="S29" s="54" t="str">
        <f>IF(AND('Mapa final'!$AL$62="Alta",'Mapa final'!$AN$62="Menor"),CONCATENATE("R2C",'Mapa final'!$U$62),"")</f>
        <v/>
      </c>
      <c r="T29" s="54" t="str">
        <f>IF(AND('Mapa final'!$AL$63="Alta",'Mapa final'!$AN$63="Menor"),CONCATENATE("R2C",'Mapa final'!$U$63),"")</f>
        <v/>
      </c>
      <c r="U29" s="54" t="str">
        <f>IF(AND('Mapa final'!$AL$64="Alta",'Mapa final'!$AN$64="Menor"),CONCATENATE("R2C",'Mapa final'!$U$64),"")</f>
        <v/>
      </c>
      <c r="V29" s="55" t="str">
        <f>IF(AND('Mapa final'!$AL$65="Alta",'Mapa final'!$AN$65="Menor"),CONCATENATE("R2C",'Mapa final'!$U$65),"")</f>
        <v/>
      </c>
      <c r="W29" s="38" t="str">
        <f>IF(AND('Mapa final'!$AL$60="Alta",'Mapa final'!$AN$60="Moderado"),CONCATENATE("R2C",'Mapa final'!$U$60),"")</f>
        <v/>
      </c>
      <c r="X29" s="39" t="str">
        <f>IF(AND('Mapa final'!$AL$61="Alta",'Mapa final'!$AN$61="Moderado"),CONCATENATE("R2C",'Mapa final'!$U$61),"")</f>
        <v/>
      </c>
      <c r="Y29" s="39" t="str">
        <f>IF(AND('Mapa final'!$AL$62="Alta",'Mapa final'!$AN$62="Moderado"),CONCATENATE("R2C",'Mapa final'!$U$62),"")</f>
        <v/>
      </c>
      <c r="Z29" s="39" t="str">
        <f>IF(AND('Mapa final'!$AL$63="Alta",'Mapa final'!$AN$63="Moderado"),CONCATENATE("R2C",'Mapa final'!$U$63),"")</f>
        <v/>
      </c>
      <c r="AA29" s="39" t="str">
        <f>IF(AND('Mapa final'!$AL$64="Alta",'Mapa final'!$AN$64="Moderado"),CONCATENATE("R2C",'Mapa final'!$U$64),"")</f>
        <v/>
      </c>
      <c r="AB29" s="40" t="str">
        <f>IF(AND('Mapa final'!$AL$65="Alta",'Mapa final'!$AN$65="Moderado"),CONCATENATE("R2C",'Mapa final'!$U$65),"")</f>
        <v/>
      </c>
      <c r="AC29" s="38" t="str">
        <f>IF(AND('Mapa final'!$AL$60="Alta",'Mapa final'!$AN$60="Mayor"),CONCATENATE("R2C",'Mapa final'!$U$60),"")</f>
        <v/>
      </c>
      <c r="AD29" s="39" t="str">
        <f>IF(AND('Mapa final'!$AL$61="Alta",'Mapa final'!$AN$61="Mayor"),CONCATENATE("R2C",'Mapa final'!$U$61),"")</f>
        <v/>
      </c>
      <c r="AE29" s="39" t="str">
        <f>IF(AND('Mapa final'!$AL$62="Alta",'Mapa final'!$AN$62="Mayor"),CONCATENATE("R2C",'Mapa final'!$U$62),"")</f>
        <v/>
      </c>
      <c r="AF29" s="39" t="str">
        <f>IF(AND('Mapa final'!$AL$63="Alta",'Mapa final'!$AN$63="Mayor"),CONCATENATE("R2C",'Mapa final'!$U$63),"")</f>
        <v/>
      </c>
      <c r="AG29" s="39" t="str">
        <f>IF(AND('Mapa final'!$AL$64="Alta",'Mapa final'!$AN$64="Mayor"),CONCATENATE("R2C",'Mapa final'!$U$64),"")</f>
        <v/>
      </c>
      <c r="AH29" s="40" t="str">
        <f>IF(AND('Mapa final'!$AL$65="Alta",'Mapa final'!$AN$65="Mayor"),CONCATENATE("R2C",'Mapa final'!$U$65),"")</f>
        <v/>
      </c>
      <c r="AI29" s="41" t="str">
        <f>IF(AND('Mapa final'!$AL$60="Alta",'Mapa final'!$AN$60="Catastrófico"),CONCATENATE("R2C",'Mapa final'!$U$60),"")</f>
        <v/>
      </c>
      <c r="AJ29" s="42" t="str">
        <f>IF(AND('Mapa final'!$AL$61="Alta",'Mapa final'!$AN$61="Catastrófico"),CONCATENATE("R2C",'Mapa final'!$U$61),"")</f>
        <v/>
      </c>
      <c r="AK29" s="42" t="str">
        <f>IF(AND('Mapa final'!$AL$62="Alta",'Mapa final'!$AN$62="Catastrófico"),CONCATENATE("R2C",'Mapa final'!$U$62),"")</f>
        <v/>
      </c>
      <c r="AL29" s="42" t="str">
        <f>IF(AND('Mapa final'!$AL$63="Alta",'Mapa final'!$AN$63="Catastrófico"),CONCATENATE("R2C",'Mapa final'!$U$63),"")</f>
        <v/>
      </c>
      <c r="AM29" s="42" t="str">
        <f>IF(AND('Mapa final'!$AL$64="Alta",'Mapa final'!$AN$64="Catastrófico"),CONCATENATE("R2C",'Mapa final'!$U$64),"")</f>
        <v/>
      </c>
      <c r="AN29" s="43" t="str">
        <f>IF(AND('Mapa final'!$AL$65="Alta",'Mapa final'!$AN$65="Catastrófico"),CONCATENATE("R2C",'Mapa final'!$U$65),"")</f>
        <v/>
      </c>
      <c r="AO29" s="69"/>
      <c r="AP29" s="480"/>
      <c r="AQ29" s="481"/>
      <c r="AR29" s="481"/>
      <c r="AS29" s="481"/>
      <c r="AT29" s="481"/>
      <c r="AU29" s="482"/>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81"/>
      <c r="D30" s="381"/>
      <c r="E30" s="382"/>
      <c r="F30" s="471"/>
      <c r="G30" s="472"/>
      <c r="H30" s="472"/>
      <c r="I30" s="472"/>
      <c r="J30" s="472"/>
      <c r="K30" s="53" t="str">
        <f>IF(AND('Mapa final'!$AL$66="Alta",'Mapa final'!$AN$66="Leve"),CONCATENATE("R2C",'Mapa final'!$U$66),"")</f>
        <v/>
      </c>
      <c r="L30" s="54" t="str">
        <f>IF(AND('Mapa final'!$AL$67="Alta",'Mapa final'!$AN$67="Leve"),CONCATENATE("R2C",'Mapa final'!$U$67),"")</f>
        <v/>
      </c>
      <c r="M30" s="54" t="str">
        <f>IF(AND('Mapa final'!$AL$68="Alta",'Mapa final'!$AN$68="Leve"),CONCATENATE("R2C",'Mapa final'!$U$68),"")</f>
        <v/>
      </c>
      <c r="N30" s="54" t="str">
        <f>IF(AND('Mapa final'!$AL$69="Alta",'Mapa final'!$AN$69="Leve"),CONCATENATE("R2C",'Mapa final'!$U$69),"")</f>
        <v/>
      </c>
      <c r="O30" s="54" t="str">
        <f>IF(AND('Mapa final'!$AL$70="Alta",'Mapa final'!$AN$70="Leve"),CONCATENATE("R2C",'Mapa final'!$U$70),"")</f>
        <v/>
      </c>
      <c r="P30" s="55" t="str">
        <f>IF(AND('Mapa final'!$AL$71="Alta",'Mapa final'!$AN$71="Leve"),CONCATENATE("R2C",'Mapa final'!$U$71),"")</f>
        <v/>
      </c>
      <c r="Q30" s="53" t="str">
        <f>IF(AND('Mapa final'!$AL$66="Alta",'Mapa final'!$AN$66="Menor"),CONCATENATE("R2C",'Mapa final'!$U$66),"")</f>
        <v/>
      </c>
      <c r="R30" s="54" t="str">
        <f>IF(AND('Mapa final'!$AL$67="Alta",'Mapa final'!$AN$67="Menor"),CONCATENATE("R2C",'Mapa final'!$U$67),"")</f>
        <v/>
      </c>
      <c r="S30" s="54" t="str">
        <f>IF(AND('Mapa final'!$AL$68="Alta",'Mapa final'!$AN$68="Menor"),CONCATENATE("R2C",'Mapa final'!$U$68),"")</f>
        <v/>
      </c>
      <c r="T30" s="54" t="str">
        <f>IF(AND('Mapa final'!$AL$69="Alta",'Mapa final'!$AN$69="Menor"),CONCATENATE("R2C",'Mapa final'!$U$69),"")</f>
        <v/>
      </c>
      <c r="U30" s="54" t="str">
        <f>IF(AND('Mapa final'!$AL$70="Alta",'Mapa final'!$AN$70="Menor"),CONCATENATE("R2C",'Mapa final'!$U$70),"")</f>
        <v/>
      </c>
      <c r="V30" s="55" t="str">
        <f>IF(AND('Mapa final'!$AL$71="Alta",'Mapa final'!$AN$71="Menor"),CONCATENATE("R2C",'Mapa final'!$U$71),"")</f>
        <v/>
      </c>
      <c r="W30" s="38" t="str">
        <f>IF(AND('Mapa final'!$AL$66="Alta",'Mapa final'!$AN$66="Moderado"),CONCATENATE("R2C",'Mapa final'!$U$66),"")</f>
        <v/>
      </c>
      <c r="X30" s="39" t="str">
        <f>IF(AND('Mapa final'!$AL$67="Alta",'Mapa final'!$AN$67="Moderado"),CONCATENATE("R2C",'Mapa final'!$U$67),"")</f>
        <v/>
      </c>
      <c r="Y30" s="39" t="str">
        <f>IF(AND('Mapa final'!$AL$68="Alta",'Mapa final'!$AN$68="Moderado"),CONCATENATE("R2C",'Mapa final'!$U$68),"")</f>
        <v/>
      </c>
      <c r="Z30" s="39" t="str">
        <f>IF(AND('Mapa final'!$AL$69="Alta",'Mapa final'!$AN$69="Moderado"),CONCATENATE("R2C",'Mapa final'!$U$69),"")</f>
        <v/>
      </c>
      <c r="AA30" s="39" t="str">
        <f>IF(AND('Mapa final'!$AL$70="Alta",'Mapa final'!$AN$70="Moderado"),CONCATENATE("R2C",'Mapa final'!$U$70),"")</f>
        <v/>
      </c>
      <c r="AB30" s="40" t="str">
        <f>IF(AND('Mapa final'!$AL$71="Alta",'Mapa final'!$AN$71="Moderado"),CONCATENATE("R2C",'Mapa final'!$U$71),"")</f>
        <v/>
      </c>
      <c r="AC30" s="38" t="str">
        <f>IF(AND('Mapa final'!$AL$66="Alta",'Mapa final'!$AN$66="Mayor"),CONCATENATE("R2C",'Mapa final'!$U$66),"")</f>
        <v/>
      </c>
      <c r="AD30" s="39" t="str">
        <f>IF(AND('Mapa final'!$AL$67="Alta",'Mapa final'!$AN$67="Mayor"),CONCATENATE("R2C",'Mapa final'!$U$67),"")</f>
        <v/>
      </c>
      <c r="AE30" s="39" t="str">
        <f>IF(AND('Mapa final'!$AL$68="Alta",'Mapa final'!$AN$68="Mayor"),CONCATENATE("R2C",'Mapa final'!$U$68),"")</f>
        <v/>
      </c>
      <c r="AF30" s="39" t="str">
        <f>IF(AND('Mapa final'!$AL$69="Alta",'Mapa final'!$AN$69="Mayor"),CONCATENATE("R2C",'Mapa final'!$U$69),"")</f>
        <v/>
      </c>
      <c r="AG30" s="39" t="str">
        <f>IF(AND('Mapa final'!$AL$70="Alta",'Mapa final'!$AN$70="Mayor"),CONCATENATE("R2C",'Mapa final'!$U$70),"")</f>
        <v/>
      </c>
      <c r="AH30" s="40" t="str">
        <f>IF(AND('Mapa final'!$AL$71="Alta",'Mapa final'!$AN$71="Mayor"),CONCATENATE("R2C",'Mapa final'!$U$71),"")</f>
        <v/>
      </c>
      <c r="AI30" s="41" t="str">
        <f>IF(AND('Mapa final'!$AL$66="Alta",'Mapa final'!$AN$66="Catastrófico"),CONCATENATE("R2C",'Mapa final'!$U$66),"")</f>
        <v/>
      </c>
      <c r="AJ30" s="42" t="str">
        <f>IF(AND('Mapa final'!$AL$67="Alta",'Mapa final'!$AN$67="Catastrófico"),CONCATENATE("R2C",'Mapa final'!$U$67),"")</f>
        <v/>
      </c>
      <c r="AK30" s="42" t="str">
        <f>IF(AND('Mapa final'!$AL$68="Alta",'Mapa final'!$AN$68="Catastrófico"),CONCATENATE("R2C",'Mapa final'!$U$68),"")</f>
        <v/>
      </c>
      <c r="AL30" s="42" t="str">
        <f>IF(AND('Mapa final'!$AL$69="Alta",'Mapa final'!$AN$69="Catastrófico"),CONCATENATE("R2C",'Mapa final'!$U$69),"")</f>
        <v/>
      </c>
      <c r="AM30" s="42" t="str">
        <f>IF(AND('Mapa final'!$AL$70="Alta",'Mapa final'!$AN$70="Catastrófico"),CONCATENATE("R2C",'Mapa final'!$U$70),"")</f>
        <v/>
      </c>
      <c r="AN30" s="43" t="str">
        <f>IF(AND('Mapa final'!$AL$71="Alta",'Mapa final'!$AN$71="Catastrófico"),CONCATENATE("R2C",'Mapa final'!$U$71),"")</f>
        <v/>
      </c>
      <c r="AO30" s="69"/>
      <c r="AP30" s="480"/>
      <c r="AQ30" s="481"/>
      <c r="AR30" s="481"/>
      <c r="AS30" s="481"/>
      <c r="AT30" s="481"/>
      <c r="AU30" s="482"/>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81"/>
      <c r="D31" s="381"/>
      <c r="E31" s="382"/>
      <c r="F31" s="474"/>
      <c r="G31" s="475"/>
      <c r="H31" s="475"/>
      <c r="I31" s="475"/>
      <c r="J31" s="475"/>
      <c r="K31" s="56" t="str">
        <f>IF(AND('Mapa final'!$AL$72="Alta",'Mapa final'!$AN$72="Leve"),CONCATENATE("R2C",'Mapa final'!$U$72),"")</f>
        <v/>
      </c>
      <c r="L31" s="57" t="str">
        <f>IF(AND('Mapa final'!$AL$73="Alta",'Mapa final'!$AN$73="Leve"),CONCATENATE("R2C",'Mapa final'!$U$73),"")</f>
        <v/>
      </c>
      <c r="M31" s="57" t="str">
        <f>IF(AND('Mapa final'!$AL$74="Alta",'Mapa final'!$AN$74="Leve"),CONCATENATE("R2C",'Mapa final'!$U$74),"")</f>
        <v/>
      </c>
      <c r="N31" s="57" t="str">
        <f>IF(AND('Mapa final'!$AL$75="Alta",'Mapa final'!$AN$75="Leve"),CONCATENATE("R2C",'Mapa final'!$U$75),"")</f>
        <v/>
      </c>
      <c r="O31" s="57" t="str">
        <f>IF(AND('Mapa final'!$AL$77="Alta",'Mapa final'!$AN$77="Leve"),CONCATENATE("R2C",'Mapa final'!$U$77),"")</f>
        <v/>
      </c>
      <c r="P31" s="58" t="str">
        <f>IF(AND('Mapa final'!$AL$78="Alta",'Mapa final'!$AN$78="Leve"),CONCATENATE("R2C",'Mapa final'!$U$78),"")</f>
        <v/>
      </c>
      <c r="Q31" s="56" t="str">
        <f>IF(AND('Mapa final'!$AL$72="Alta",'Mapa final'!$AN$72="Menor"),CONCATENATE("R2C",'Mapa final'!$U$72),"")</f>
        <v/>
      </c>
      <c r="R31" s="57" t="str">
        <f>IF(AND('Mapa final'!$AL$73="Alta",'Mapa final'!$AN$73="Menor"),CONCATENATE("R2C",'Mapa final'!$U$73),"")</f>
        <v/>
      </c>
      <c r="S31" s="57" t="str">
        <f>IF(AND('Mapa final'!$AL$74="Alta",'Mapa final'!$AN$74="Menor"),CONCATENATE("R2C",'Mapa final'!$U$74),"")</f>
        <v/>
      </c>
      <c r="T31" s="57" t="str">
        <f>IF(AND('Mapa final'!$AL$75="Alta",'Mapa final'!$AN$75="Menor"),CONCATENATE("R2C",'Mapa final'!$U$75),"")</f>
        <v/>
      </c>
      <c r="U31" s="57" t="str">
        <f>IF(AND('Mapa final'!$AL$77="Alta",'Mapa final'!$AN$77="Menor"),CONCATENATE("R2C",'Mapa final'!$U$77),"")</f>
        <v/>
      </c>
      <c r="V31" s="58" t="str">
        <f>IF(AND('Mapa final'!$AL$78="Alta",'Mapa final'!$AN$78="Menor"),CONCATENATE("R2C",'Mapa final'!$U$78),"")</f>
        <v/>
      </c>
      <c r="W31" s="44" t="str">
        <f>IF(AND('Mapa final'!$AL$72="Alta",'Mapa final'!$AN$72="Moderado"),CONCATENATE("R2C",'Mapa final'!$U$72),"")</f>
        <v/>
      </c>
      <c r="X31" s="45" t="str">
        <f>IF(AND('Mapa final'!$AL$73="Alta",'Mapa final'!$AN$73="Moderado"),CONCATENATE("R2C",'Mapa final'!$U$73),"")</f>
        <v/>
      </c>
      <c r="Y31" s="45" t="str">
        <f>IF(AND('Mapa final'!$AL$74="Alta",'Mapa final'!$AN$74="Moderado"),CONCATENATE("R2C",'Mapa final'!$U$74),"")</f>
        <v/>
      </c>
      <c r="Z31" s="45" t="str">
        <f>IF(AND('Mapa final'!$AL$75="Alta",'Mapa final'!$AN$75="Moderado"),CONCATENATE("R2C",'Mapa final'!$U$75),"")</f>
        <v/>
      </c>
      <c r="AA31" s="45" t="str">
        <f>IF(AND('Mapa final'!$AL$77="Alta",'Mapa final'!$AN$77="Moderado"),CONCATENATE("R2C",'Mapa final'!$U$77),"")</f>
        <v/>
      </c>
      <c r="AB31" s="46" t="str">
        <f>IF(AND('Mapa final'!$AL$78="Alta",'Mapa final'!$AN$78="Moderado"),CONCATENATE("R2C",'Mapa final'!$U$78),"")</f>
        <v/>
      </c>
      <c r="AC31" s="44" t="str">
        <f>IF(AND('Mapa final'!$AL$72="Alta",'Mapa final'!$AN$72="Mayor"),CONCATENATE("R2C",'Mapa final'!$U$72),"")</f>
        <v/>
      </c>
      <c r="AD31" s="45" t="str">
        <f>IF(AND('Mapa final'!$AL$73="Alta",'Mapa final'!$AN$73="Mayor"),CONCATENATE("R2C",'Mapa final'!$U$73),"")</f>
        <v/>
      </c>
      <c r="AE31" s="45" t="str">
        <f>IF(AND('Mapa final'!$AL$74="Alta",'Mapa final'!$AN$74="Mayor"),CONCATENATE("R2C",'Mapa final'!$U$74),"")</f>
        <v/>
      </c>
      <c r="AF31" s="45" t="str">
        <f>IF(AND('Mapa final'!$AL$75="Alta",'Mapa final'!$AN$75="Mayor"),CONCATENATE("R2C",'Mapa final'!$U$75),"")</f>
        <v/>
      </c>
      <c r="AG31" s="45" t="str">
        <f>IF(AND('Mapa final'!$AL$77="Alta",'Mapa final'!$AN$77="Mayor"),CONCATENATE("R2C",'Mapa final'!$U$77),"")</f>
        <v/>
      </c>
      <c r="AH31" s="46" t="str">
        <f>IF(AND('Mapa final'!$AL$78="Alta",'Mapa final'!$AN$78="Mayor"),CONCATENATE("R2C",'Mapa final'!$U$78),"")</f>
        <v/>
      </c>
      <c r="AI31" s="47" t="str">
        <f>IF(AND('Mapa final'!$AL$72="Alta",'Mapa final'!$AN$72="Catastrófico"),CONCATENATE("R2C",'Mapa final'!$U$72),"")</f>
        <v/>
      </c>
      <c r="AJ31" s="48" t="str">
        <f>IF(AND('Mapa final'!$AL$73="Alta",'Mapa final'!$AN$73="Catastrófico"),CONCATENATE("R2C",'Mapa final'!$U$73),"")</f>
        <v/>
      </c>
      <c r="AK31" s="48" t="str">
        <f>IF(AND('Mapa final'!$AL$74="Alta",'Mapa final'!$AN$74="Catastrófico"),CONCATENATE("R2C",'Mapa final'!$U$74),"")</f>
        <v/>
      </c>
      <c r="AL31" s="48" t="str">
        <f>IF(AND('Mapa final'!$AL$75="Alta",'Mapa final'!$AN$75="Catastrófico"),CONCATENATE("R2C",'Mapa final'!$U$75),"")</f>
        <v/>
      </c>
      <c r="AM31" s="48" t="str">
        <f>IF(AND('Mapa final'!$AL$77="Alta",'Mapa final'!$AN$77="Catastrófico"),CONCATENATE("R2C",'Mapa final'!$U$77),"")</f>
        <v/>
      </c>
      <c r="AN31" s="49" t="str">
        <f>IF(AND('Mapa final'!$AL$78="Muy Alta",'Mapa final'!$AN$78="Catastrófico"),CONCATENATE("R2C",'Mapa final'!$U$78),"")</f>
        <v/>
      </c>
      <c r="AO31" s="69"/>
      <c r="AP31" s="483"/>
      <c r="AQ31" s="484"/>
      <c r="AR31" s="484"/>
      <c r="AS31" s="484"/>
      <c r="AT31" s="484"/>
      <c r="AU31" s="485"/>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81"/>
      <c r="D32" s="381"/>
      <c r="E32" s="382"/>
      <c r="F32" s="468" t="s">
        <v>116</v>
      </c>
      <c r="G32" s="469"/>
      <c r="H32" s="469"/>
      <c r="I32" s="469"/>
      <c r="J32" s="470"/>
      <c r="K32" s="50" t="str">
        <f>IF(AND('Mapa final'!$AL$15="Media",'Mapa final'!$AN$15="Leve"),CONCATENATE("R2C",'Mapa final'!$U$15),"")</f>
        <v/>
      </c>
      <c r="L32" s="51" t="str">
        <f>IF(AND('Mapa final'!$AL$16="Media",'Mapa final'!$AN$16="Leve"),CONCATENATE("R2C",'Mapa final'!$U$16),"")</f>
        <v/>
      </c>
      <c r="M32" s="51" t="str">
        <f>IF(AND('Mapa final'!$AL$17="Media",'Mapa final'!$AN$17="Leve"),CONCATENATE("R2C",'Mapa final'!$U$17),"")</f>
        <v/>
      </c>
      <c r="N32" s="51" t="str">
        <f>IF(AND('Mapa final'!$AL$18="Media",'Mapa final'!$AN$18="Leve"),CONCATENATE("R2C",'Mapa final'!$U$18),"")</f>
        <v/>
      </c>
      <c r="O32" s="51" t="str">
        <f>IF(AND('Mapa final'!$AL$20="Media",'Mapa final'!$AN$20="Leve"),CONCATENATE("R2C",'Mapa final'!$U$20),"")</f>
        <v/>
      </c>
      <c r="P32" s="52" t="str">
        <f>IF(AND('Mapa final'!$AL$21="Media",'Mapa final'!$AN$21="Leve"),CONCATENATE("R2C",'Mapa final'!$U$21),"")</f>
        <v/>
      </c>
      <c r="Q32" s="50" t="str">
        <f>IF(AND('Mapa final'!$AL$15="Media",'Mapa final'!$AN$15="Menor"),CONCATENATE("R2C",'Mapa final'!$D$15),"")</f>
        <v>R2C1</v>
      </c>
      <c r="R32" s="51" t="str">
        <f>IF(AND('Mapa final'!$AL$16="Media",'Mapa final'!$AN$16="Menore"),CONCATENATE("R2C",'Mapa final'!$U$16),"")</f>
        <v/>
      </c>
      <c r="S32" s="51" t="str">
        <f>IF(AND('Mapa final'!$AL$17="Media",'Mapa final'!$AN$17="Menor"),CONCATENATE("R2C",'Mapa final'!$U$17),"")</f>
        <v/>
      </c>
      <c r="T32" s="51" t="str">
        <f>IF(AND('Mapa final'!$AL$18="Media",'Mapa final'!$AN$18="Menor"),CONCATENATE("R2C",'Mapa final'!$U$18),"")</f>
        <v/>
      </c>
      <c r="U32" s="51" t="str">
        <f>IF(AND('Mapa final'!$AL$20="Media",'Mapa final'!$AN$20="Menor"),CONCATENATE("R2C",'Mapa final'!$U$20),"")</f>
        <v/>
      </c>
      <c r="V32" s="52" t="str">
        <f>IF(AND('Mapa final'!$AL$21="Media",'Mapa final'!$AN$21="Menor"),CONCATENATE("R2C",'Mapa final'!$U$21),"")</f>
        <v/>
      </c>
      <c r="W32" s="50" t="str">
        <f>IF(AND('Mapa final'!$AL$15="Media",'Mapa final'!$AN$15="Moderado"),CONCATENATE("R2C",'Mapa final'!$U$15),"")</f>
        <v/>
      </c>
      <c r="X32" s="51" t="str">
        <f>IF(AND('Mapa final'!$AL$16="Media",'Mapa final'!$AN$16="Moderado"),CONCATENATE("R2C",'Mapa final'!$U$16),"")</f>
        <v/>
      </c>
      <c r="Y32" s="51"/>
      <c r="Z32" s="51" t="str">
        <f>IF(AND('Mapa final'!$AL$18="Media",'Mapa final'!$AN$18="Moderado"),CONCATENATE("R2C",'Mapa final'!$D$18),"")</f>
        <v>R2C2</v>
      </c>
      <c r="AA32" s="51" t="str">
        <f>IF(AND('Mapa final'!$AL$20="Media",'Mapa final'!$AN$20="Moderado"),CONCATENATE("R2C",'Mapa final'!$D$20),"")</f>
        <v>R2C3</v>
      </c>
      <c r="AB32" s="52" t="str">
        <f>IF(AND('Mapa final'!$AL$21="Media",'Mapa final'!$AN$21="Moderado"),CONCATENATE("R2C",'Mapa final'!$U$21),"")</f>
        <v/>
      </c>
      <c r="AC32" s="32" t="str">
        <f>IF(AND('Mapa final'!$AL$15="Media",'Mapa final'!$AN$15="Mayor"),CONCATENATE("R2C",'Mapa final'!$U$15),"")</f>
        <v/>
      </c>
      <c r="AD32" s="33" t="str">
        <f>IF(AND('Mapa final'!$AL$16="Media",'Mapa final'!$AN$16="Mayor"),CONCATENATE("R2C",'Mapa final'!$U$16),"")</f>
        <v/>
      </c>
      <c r="AE32" s="33" t="str">
        <f>IF(AND('Mapa final'!$AL$17="Media",'Mapa final'!$AN$17="Mayor"),CONCATENATE("R2C",'Mapa final'!$D$17),"")</f>
        <v/>
      </c>
      <c r="AF32" s="33" t="str">
        <f>IF(AND('Mapa final'!$AL$18="Media",'Mapa final'!$AN$18="Mayor"),CONCATENATE("R2C",'Mapa final'!$U$18),"")</f>
        <v/>
      </c>
      <c r="AG32" s="33" t="str">
        <f>IF(AND('Mapa final'!$AL$20="Media",'Mapa final'!$AN$20="Mayor"),CONCATENATE("R2C",'Mapa final'!$U$20),"")</f>
        <v/>
      </c>
      <c r="AH32" s="34" t="str">
        <f>IF(AND('Mapa final'!$AL$21="Media",'Mapa final'!$AN$21="Mayor"),CONCATENATE("R2C",'Mapa final'!$U$21),"")</f>
        <v/>
      </c>
      <c r="AI32" s="35" t="str">
        <f>IF(AND('Mapa final'!$AL$15="Media",'Mapa final'!$AN$15="Catastrófico"),CONCATENATE("R2C",'Mapa final'!$U$15),"")</f>
        <v/>
      </c>
      <c r="AJ32" s="36" t="str">
        <f>IF(AND('Mapa final'!$AL$16="Media",'Mapa final'!$AN$16="Catastrófico"),CONCATENATE("R2C",'Mapa final'!$U$16),"")</f>
        <v/>
      </c>
      <c r="AK32" s="36" t="str">
        <f>IF(AND('Mapa final'!$AL$17="Media",'Mapa final'!$AN$17="Catastrófico"),CONCATENATE("R2C",'Mapa final'!$U$17),"")</f>
        <v/>
      </c>
      <c r="AL32" s="36" t="str">
        <f>IF(AND('Mapa final'!$AL$18="Media",'Mapa final'!$AN$18="Catastrófico"),CONCATENATE("R2C",'Mapa final'!$U$18),"")</f>
        <v/>
      </c>
      <c r="AM32" s="36" t="str">
        <f>IF(AND('Mapa final'!$AL$20="Media",'Mapa final'!$AN$20="Catastrófico"),CONCATENATE("R2C",'Mapa final'!$U$20),"")</f>
        <v/>
      </c>
      <c r="AN32" s="37" t="str">
        <f>IF(AND('Mapa final'!$AL$21="Media",'Mapa final'!$AN$21="Catastrófico"),CONCATENATE("R2C",'Mapa final'!$U$21),"")</f>
        <v/>
      </c>
      <c r="AO32" s="69"/>
      <c r="AP32" s="508" t="s">
        <v>80</v>
      </c>
      <c r="AQ32" s="509"/>
      <c r="AR32" s="509"/>
      <c r="AS32" s="509"/>
      <c r="AT32" s="509"/>
      <c r="AU32" s="510"/>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81"/>
      <c r="D33" s="381"/>
      <c r="E33" s="382"/>
      <c r="F33" s="486"/>
      <c r="G33" s="472"/>
      <c r="H33" s="472"/>
      <c r="I33" s="472"/>
      <c r="J33" s="473"/>
      <c r="K33" s="53" t="str">
        <f>IF(AND('Mapa final'!$AL$24="Media",'Mapa final'!$AN$24="Leve"),CONCATENATE("R2C",'Mapa final'!$U$24),"")</f>
        <v/>
      </c>
      <c r="L33" s="54" t="str">
        <f>IF(AND('Mapa final'!$AL$25="Media",'Mapa final'!$AN$25="Leve"),CONCATENATE("R2C",'Mapa final'!$U$25),"")</f>
        <v/>
      </c>
      <c r="M33" s="54" t="str">
        <f>IF(AND('Mapa final'!$AL$26="Media",'Mapa final'!$AN$26="Leve"),CONCATENATE("R2C",'Mapa final'!$U$26),"")</f>
        <v/>
      </c>
      <c r="N33" s="54" t="str">
        <f>IF(AND('Mapa final'!$AL$27="Media",'Mapa final'!$AN$27="Leve"),CONCATENATE("R2C",'Mapa final'!$U$27),"")</f>
        <v/>
      </c>
      <c r="O33" s="54" t="str">
        <f>IF(AND('Mapa final'!$AL$28="Media",'Mapa final'!$AN$28="Leve"),CONCATENATE("R2C",'Mapa final'!$U$28),"")</f>
        <v/>
      </c>
      <c r="P33" s="55" t="str">
        <f>IF(AND('Mapa final'!$AL$29="Media",'Mapa final'!$AN$29="Leve"),CONCATENATE("R2C",'Mapa final'!$U$29),"")</f>
        <v/>
      </c>
      <c r="Q33" s="53" t="str">
        <f>IF(AND('Mapa final'!$AL$24="Media",'Mapa final'!$AN$24="Menor"),CONCATENATE("R2C",'Mapa final'!$U$24),"")</f>
        <v/>
      </c>
      <c r="R33" s="54" t="str">
        <f>IF(AND('Mapa final'!$AL$25="Media",'Mapa final'!$AN$25="Menor"),CONCATENATE("R2C",'Mapa final'!$U$25),"")</f>
        <v/>
      </c>
      <c r="S33" s="54" t="str">
        <f>IF(AND('Mapa final'!$AL$26="Media",'Mapa final'!$AN$26="Menor"),CONCATENATE("R2C",'Mapa final'!$U$26),"")</f>
        <v/>
      </c>
      <c r="T33" s="54" t="str">
        <f>IF(AND('Mapa final'!$AL$27="Media",'Mapa final'!$AN$27="Menor"),CONCATENATE("R2C",'Mapa final'!$U$27),"")</f>
        <v/>
      </c>
      <c r="U33" s="54" t="str">
        <f>IF(AND('Mapa final'!$AL$28="Media",'Mapa final'!$AN$28="Menor"),CONCATENATE("R2C",'Mapa final'!$U$28),"")</f>
        <v/>
      </c>
      <c r="V33" s="55" t="str">
        <f>IF(AND('Mapa final'!$AL$29="Media",'Mapa final'!$AN$29="Menor"),CONCATENATE("R2C",'Mapa final'!$U$29),"")</f>
        <v/>
      </c>
      <c r="W33" s="53" t="str">
        <f>IF(AND('Mapa final'!$AL$24="Media",'Mapa final'!$AN$24="Moderado"),CONCATENATE("R2C",'Mapa final'!$U$24),"")</f>
        <v/>
      </c>
      <c r="X33" s="54" t="str">
        <f>IF(AND('Mapa final'!$AL$25="Media",'Mapa final'!$AN$25="Moderado"),CONCATENATE("R2C",'Mapa final'!$U$25),"")</f>
        <v/>
      </c>
      <c r="Y33" s="54" t="str">
        <f>IF(AND('Mapa final'!$AL$26="Media",'Mapa final'!$AN$26="Moderado"),CONCATENATE("R2C",'Mapa final'!$U$26),"")</f>
        <v/>
      </c>
      <c r="Z33" s="54" t="str">
        <f>IF(AND('Mapa final'!$AL$27="Media",'Mapa final'!$AN$27="Moderado"),CONCATENATE("R2C",'Mapa final'!$U$27),"")</f>
        <v/>
      </c>
      <c r="AA33" s="54" t="str">
        <f>IF(AND('Mapa final'!$AL$28="Media",'Mapa final'!$AN$28="Moderado"),CONCATENATE("R2C",'Mapa final'!$U$28),"")</f>
        <v/>
      </c>
      <c r="AB33" s="55" t="str">
        <f>IF(AND('Mapa final'!$AL$29="Media",'Mapa final'!$AN$29="Moderado"),CONCATENATE("R2C",'Mapa final'!$U$29),"")</f>
        <v/>
      </c>
      <c r="AC33" s="38" t="str">
        <f>IF(AND('Mapa final'!$AL$24="Media",'Mapa final'!$AN$24="Mayor"),CONCATENATE("R2C",'Mapa final'!$U$24),"")</f>
        <v/>
      </c>
      <c r="AD33" s="39" t="str">
        <f>IF(AND('Mapa final'!$AL$25="Muy Alta",'Mapa final'!$AN$25="Mayor"),CONCATENATE("R2C",'Mapa final'!$U$25),"")</f>
        <v/>
      </c>
      <c r="AE33" s="39" t="str">
        <f>IF(AND('Mapa final'!$AL$26="Media",'Mapa final'!$AN$26="Mayor"),CONCATENATE("R2C",'Mapa final'!$U$26),"")</f>
        <v/>
      </c>
      <c r="AF33" s="39" t="str">
        <f>IF(AND('Mapa final'!$AL$27="Media",'Mapa final'!$AN$27="Mayor"),CONCATENATE("R2C",'Mapa final'!$U$27),"")</f>
        <v/>
      </c>
      <c r="AG33" s="39" t="str">
        <f>IF(AND('Mapa final'!$AL$28="Media",'Mapa final'!$AN$28="Mayor"),CONCATENATE("R2C",'Mapa final'!$U$28),"")</f>
        <v/>
      </c>
      <c r="AH33" s="40" t="str">
        <f>IF(AND('Mapa final'!$AL$29="Media",'Mapa final'!$AN$29="Mayor"),CONCATENATE("R2C",'Mapa final'!$U$29),"")</f>
        <v/>
      </c>
      <c r="AI33" s="41" t="str">
        <f>IF(AND('Mapa final'!$AL$24="Media",'Mapa final'!$AN$24="Catastrófico"),CONCATENATE("R2C",'Mapa final'!$U$24),"")</f>
        <v/>
      </c>
      <c r="AJ33" s="42" t="str">
        <f>IF(AND('Mapa final'!$AL$25="Media",'Mapa final'!$AN$25="Catastrófico"),CONCATENATE("R2C",'Mapa final'!$U$25),"")</f>
        <v/>
      </c>
      <c r="AK33" s="42" t="str">
        <f>IF(AND('Mapa final'!$AL$26="Media",'Mapa final'!$AN$26="Catastrófico"),CONCATENATE("R2C",'Mapa final'!$U$26),"")</f>
        <v/>
      </c>
      <c r="AL33" s="42" t="str">
        <f>IF(AND('Mapa final'!$AL$27="Media",'Mapa final'!$AN$27="Catastrófico"),CONCATENATE("R2C",'Mapa final'!$U$27),"")</f>
        <v/>
      </c>
      <c r="AM33" s="42" t="str">
        <f>IF(AND('Mapa final'!$AL$28="Media",'Mapa final'!$AN$28="Catastrófico"),CONCATENATE("R2C",'Mapa final'!$U$28),"")</f>
        <v/>
      </c>
      <c r="AN33" s="43" t="str">
        <f>IF(AND('Mapa final'!$AL$29="Media",'Mapa final'!$AN$29="Catastrófico"),CONCATENATE("R2C",'Mapa final'!$U$29),"")</f>
        <v/>
      </c>
      <c r="AO33" s="69"/>
      <c r="AP33" s="511"/>
      <c r="AQ33" s="512"/>
      <c r="AR33" s="512"/>
      <c r="AS33" s="512"/>
      <c r="AT33" s="512"/>
      <c r="AU33" s="513"/>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81"/>
      <c r="D34" s="381"/>
      <c r="E34" s="382"/>
      <c r="F34" s="471"/>
      <c r="G34" s="472"/>
      <c r="H34" s="472"/>
      <c r="I34" s="472"/>
      <c r="J34" s="473"/>
      <c r="K34" s="53" t="str">
        <f>IF(AND('Mapa final'!$AL$30="Media",'Mapa final'!$AN$30="Leve"),CONCATENATE("R2C",'Mapa final'!$U$30),"")</f>
        <v/>
      </c>
      <c r="L34" s="54" t="str">
        <f>IF(AND('Mapa final'!$AL$31="Media",'Mapa final'!$AN$31="Leve"),CONCATENATE("R2C",'Mapa final'!$U$31),"")</f>
        <v/>
      </c>
      <c r="M34" s="54" t="str">
        <f>IF(AND('Mapa final'!$AL$32="Media",'Mapa final'!$AN$32="Leve"),CONCATENATE("R2C",'Mapa final'!$U$32),"")</f>
        <v/>
      </c>
      <c r="N34" s="54" t="str">
        <f>IF(AND('Mapa final'!$AL$33="Media",'Mapa final'!$AN$33="Leve"),CONCATENATE("R2C",'Mapa final'!$U$33),"")</f>
        <v/>
      </c>
      <c r="O34" s="54" t="str">
        <f>IF(AND('Mapa final'!$AL$34="Media",'Mapa final'!$AN$34="Leve"),CONCATENATE("R2C",'Mapa final'!$U$34),"")</f>
        <v/>
      </c>
      <c r="P34" s="55" t="str">
        <f>IF(AND('Mapa final'!$AL$35="Media",'Mapa final'!$AN$35="Leve"),CONCATENATE("R2C",'Mapa final'!$U$35),"")</f>
        <v/>
      </c>
      <c r="Q34" s="53" t="str">
        <f>IF(AND('Mapa final'!$AL$30="Media",'Mapa final'!$AN$30="Menor"),CONCATENATE("R2C",'Mapa final'!$U$30),"")</f>
        <v/>
      </c>
      <c r="R34" s="54" t="str">
        <f>IF(AND('Mapa final'!$AL$31="Media",'Mapa final'!$AN$31="Menor"),CONCATENATE("R2C",'Mapa final'!$U$31),"")</f>
        <v/>
      </c>
      <c r="S34" s="54" t="str">
        <f>IF(AND('Mapa final'!$AL$32="Media",'Mapa final'!$AN$32="Menor"),CONCATENATE("R2C",'Mapa final'!$U$32),"")</f>
        <v/>
      </c>
      <c r="T34" s="54" t="str">
        <f>IF(AND('Mapa final'!$AL$33="Media",'Mapa final'!$AN$33="Menor"),CONCATENATE("R2C",'Mapa final'!$U$33),"")</f>
        <v/>
      </c>
      <c r="U34" s="54" t="str">
        <f>IF(AND('Mapa final'!$AL$34="Media",'Mapa final'!$AN$34="Menor"),CONCATENATE("R2C",'Mapa final'!$U$34),"")</f>
        <v/>
      </c>
      <c r="V34" s="55" t="str">
        <f>IF(AND('Mapa final'!$AL$35="Media",'Mapa final'!$AN$35="Menor"),CONCATENATE("R2C",'Mapa final'!$U$35),"")</f>
        <v/>
      </c>
      <c r="W34" s="53" t="str">
        <f>IF(AND('Mapa final'!$AL$30="Media",'Mapa final'!$AN$30="Moderado"),CONCATENATE("R2C",'Mapa final'!$U$30),"")</f>
        <v/>
      </c>
      <c r="X34" s="54" t="str">
        <f>IF(AND('Mapa final'!$AL$31="Media",'Mapa final'!$AN$31="Moderado"),CONCATENATE("R2C",'Mapa final'!$U$31),"")</f>
        <v/>
      </c>
      <c r="Y34" s="54" t="str">
        <f>IF(AND('Mapa final'!$AL$32="Media",'Mapa final'!$AN$32="Moderado"),CONCATENATE("R2C",'Mapa final'!$U$32),"")</f>
        <v/>
      </c>
      <c r="Z34" s="54" t="str">
        <f>IF(AND('Mapa final'!$AL$33="Media",'Mapa final'!$AN$33="Moderado"),CONCATENATE("R2C",'Mapa final'!$U$33),"")</f>
        <v/>
      </c>
      <c r="AA34" s="54" t="str">
        <f>IF(AND('Mapa final'!$AL$34="Media",'Mapa final'!$AN$34="Moderado"),CONCATENATE("R2C",'Mapa final'!$U$34),"")</f>
        <v/>
      </c>
      <c r="AB34" s="55" t="str">
        <f>IF(AND('Mapa final'!$AL$35="Media",'Mapa final'!$AN$35="Moderado"),CONCATENATE("R2C",'Mapa final'!$U$35),"")</f>
        <v/>
      </c>
      <c r="AC34" s="38" t="str">
        <f>IF(AND('Mapa final'!$AL$30="Media",'Mapa final'!$AN$30="Mayor"),CONCATENATE("R2C",'Mapa final'!$U$30),"")</f>
        <v/>
      </c>
      <c r="AD34" s="39" t="str">
        <f>IF(AND('Mapa final'!$AL$31="Media",'Mapa final'!$AN$31="Mayor"),CONCATENATE("R2C",'Mapa final'!$U$31),"")</f>
        <v/>
      </c>
      <c r="AE34" s="39" t="str">
        <f>IF(AND('Mapa final'!$AL$32="Media",'Mapa final'!$AN$32="Mayor"),CONCATENATE("R2C",'Mapa final'!$U$32),"")</f>
        <v/>
      </c>
      <c r="AF34" s="39" t="str">
        <f>IF(AND('Mapa final'!$AL$33="Media",'Mapa final'!$AN$33="Mayor"),CONCATENATE("R2C",'Mapa final'!$U$33),"")</f>
        <v/>
      </c>
      <c r="AG34" s="39" t="str">
        <f>IF(AND('Mapa final'!$AL$34="Media",'Mapa final'!$AN$34="Mayor"),CONCATENATE("R2C",'Mapa final'!$U$34),"")</f>
        <v/>
      </c>
      <c r="AH34" s="40" t="str">
        <f>IF(AND('Mapa final'!$AL$35="Media",'Mapa final'!$AN$35="Mayor"),CONCATENATE("R2C",'Mapa final'!$U$35),"")</f>
        <v/>
      </c>
      <c r="AI34" s="41" t="str">
        <f>IF(AND('Mapa final'!$AL$30="Media",'Mapa final'!$AN$30="Catastrófico"),CONCATENATE("R2C",'Mapa final'!$U$30),"")</f>
        <v/>
      </c>
      <c r="AJ34" s="42" t="str">
        <f>IF(AND('Mapa final'!$AL$31="Media",'Mapa final'!$AN$31="Catastrófico"),CONCATENATE("R2C",'Mapa final'!$U$31),"")</f>
        <v/>
      </c>
      <c r="AK34" s="42" t="str">
        <f>IF(AND('Mapa final'!$AL$32="Media",'Mapa final'!$AN$32="Catastrófico"),CONCATENATE("R2C",'Mapa final'!$U$32),"")</f>
        <v/>
      </c>
      <c r="AL34" s="42" t="str">
        <f>IF(AND('Mapa final'!$AL$33="Media",'Mapa final'!$AN$33="Catastrófico"),CONCATENATE("R2C",'Mapa final'!$U$33),"")</f>
        <v/>
      </c>
      <c r="AM34" s="42" t="str">
        <f>IF(AND('Mapa final'!$AL$34="Media",'Mapa final'!$AN$34="Catastrófico"),CONCATENATE("R2C",'Mapa final'!$U$34),"")</f>
        <v/>
      </c>
      <c r="AN34" s="43" t="str">
        <f>IF(AND('Mapa final'!$AL$35="Media",'Mapa final'!$AN$35="Catastrófico"),CONCATENATE("R2C",'Mapa final'!$U$35),"")</f>
        <v/>
      </c>
      <c r="AO34" s="69"/>
      <c r="AP34" s="511"/>
      <c r="AQ34" s="512"/>
      <c r="AR34" s="512"/>
      <c r="AS34" s="512"/>
      <c r="AT34" s="512"/>
      <c r="AU34" s="513"/>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81"/>
      <c r="D35" s="381"/>
      <c r="E35" s="382"/>
      <c r="F35" s="471"/>
      <c r="G35" s="472"/>
      <c r="H35" s="472"/>
      <c r="I35" s="472"/>
      <c r="J35" s="473"/>
      <c r="K35" s="53" t="str">
        <f>IF(AND('Mapa final'!$AL$36="Media",'Mapa final'!$AN$36="Leve"),CONCATENATE("R2C",'Mapa final'!$U$36),"")</f>
        <v/>
      </c>
      <c r="L35" s="54" t="str">
        <f>IF(AND('Mapa final'!$AL$37="Media",'Mapa final'!$AN$37="Leve"),CONCATENATE("R2C",'Mapa final'!$U$37),"")</f>
        <v/>
      </c>
      <c r="M35" s="54" t="str">
        <f>IF(AND('Mapa final'!$AL$38="Media",'Mapa final'!$AN$38="Leve"),CONCATENATE("R2C",'Mapa final'!$U$38),"")</f>
        <v/>
      </c>
      <c r="N35" s="54" t="str">
        <f>IF(AND('Mapa final'!$AL$39="Media",'Mapa final'!$AN$39="Leve"),CONCATENATE("R2C",'Mapa final'!$U$39),"")</f>
        <v/>
      </c>
      <c r="O35" s="54" t="str">
        <f>IF(AND('Mapa final'!$AL$40="Media",'Mapa final'!$AN$40="Leve"),CONCATENATE("R2C",'Mapa final'!$U$40),"")</f>
        <v/>
      </c>
      <c r="P35" s="55" t="str">
        <f>IF(AND('Mapa final'!$AL$41="Media",'Mapa final'!$AN$41="Leve"),CONCATENATE("R2C",'Mapa final'!$U$41),"")</f>
        <v/>
      </c>
      <c r="Q35" s="53" t="str">
        <f>IF(AND('Mapa final'!$AL$36="Media",'Mapa final'!$AN$36="Menor"),CONCATENATE("R2C",'Mapa final'!$U$36),"")</f>
        <v/>
      </c>
      <c r="R35" s="54" t="str">
        <f>IF(AND('Mapa final'!$AL$37="Media",'Mapa final'!$AN$37="Menor"),CONCATENATE("R2C",'Mapa final'!$U$37),"")</f>
        <v/>
      </c>
      <c r="S35" s="54" t="str">
        <f>IF(AND('Mapa final'!$AL$38="Media",'Mapa final'!$AN$38="Menor"),CONCATENATE("R2C",'Mapa final'!$U$38),"")</f>
        <v/>
      </c>
      <c r="T35" s="54" t="str">
        <f>IF(AND('Mapa final'!$AL$39="Media",'Mapa final'!$AN$39="Menor"),CONCATENATE("R2C",'Mapa final'!$U$39),"")</f>
        <v/>
      </c>
      <c r="U35" s="54" t="str">
        <f>IF(AND('Mapa final'!$AL$40="Media",'Mapa final'!$AN$40="LMenor"),CONCATENATE("R2C",'Mapa final'!$U$40),"")</f>
        <v/>
      </c>
      <c r="V35" s="55" t="str">
        <f>IF(AND('Mapa final'!$AL$41="Media",'Mapa final'!$AN$41="Menor"),CONCATENATE("R2C",'Mapa final'!$U$41),"")</f>
        <v/>
      </c>
      <c r="W35" s="53" t="str">
        <f>IF(AND('Mapa final'!$AL$36="Media",'Mapa final'!$AN$36="Moderado"),CONCATENATE("R2C",'Mapa final'!$U$36),"")</f>
        <v/>
      </c>
      <c r="X35" s="54" t="str">
        <f>IF(AND('Mapa final'!$AL$37="Media",'Mapa final'!$AN$37="Moderado"),CONCATENATE("R2C",'Mapa final'!$U$37),"")</f>
        <v/>
      </c>
      <c r="Y35" s="54" t="str">
        <f>IF(AND('Mapa final'!$AL$38="Media",'Mapa final'!$AN$38="Moderado"),CONCATENATE("R2C",'Mapa final'!$U$38),"")</f>
        <v/>
      </c>
      <c r="Z35" s="54" t="str">
        <f>IF(AND('Mapa final'!$AL$39="Media",'Mapa final'!$AN$39="Moderado"),CONCATENATE("R2C",'Mapa final'!$U$39),"")</f>
        <v/>
      </c>
      <c r="AA35" s="54" t="str">
        <f>IF(AND('Mapa final'!$AL$40="Media",'Mapa final'!$AN$40="Moderado"),CONCATENATE("R2C",'Mapa final'!$U$40),"")</f>
        <v/>
      </c>
      <c r="AB35" s="55" t="str">
        <f>IF(AND('Mapa final'!$AL$41="Media",'Mapa final'!$AN$41="Moderado"),CONCATENATE("R2C",'Mapa final'!$U$41),"")</f>
        <v/>
      </c>
      <c r="AC35" s="38" t="str">
        <f>IF(AND('Mapa final'!$AL$36="Media",'Mapa final'!$AN$36="Mayor"),CONCATENATE("R2C",'Mapa final'!$U$36),"")</f>
        <v/>
      </c>
      <c r="AD35" s="39" t="str">
        <f>IF(AND('Mapa final'!$AL$37="Media",'Mapa final'!$AN$37="Mayor"),CONCATENATE("R2C",'Mapa final'!$U$37),"")</f>
        <v/>
      </c>
      <c r="AE35" s="39" t="str">
        <f>IF(AND('Mapa final'!$AL$38="Media",'Mapa final'!$AN$38="Mayor"),CONCATENATE("R2C",'Mapa final'!$U$38),"")</f>
        <v/>
      </c>
      <c r="AF35" s="39" t="str">
        <f>IF(AND('Mapa final'!$AL$39="Media",'Mapa final'!$AN$39="Mayor"),CONCATENATE("R2C",'Mapa final'!$U$39),"")</f>
        <v/>
      </c>
      <c r="AG35" s="39" t="str">
        <f>IF(AND('Mapa final'!$AL$40="Media",'Mapa final'!$AN$40="Mayor"),CONCATENATE("R2C",'Mapa final'!$U$40),"")</f>
        <v/>
      </c>
      <c r="AH35" s="40" t="str">
        <f>IF(AND('Mapa final'!$AL$41="Media",'Mapa final'!$AN$41="Mayor"),CONCATENATE("R2C",'Mapa final'!$U$41),"")</f>
        <v/>
      </c>
      <c r="AI35" s="41" t="str">
        <f>IF(AND('Mapa final'!$AL$36="Media",'Mapa final'!$AN$36="Catastrófico"),CONCATENATE("R2C",'Mapa final'!$U$36),"")</f>
        <v/>
      </c>
      <c r="AJ35" s="42" t="str">
        <f>IF(AND('Mapa final'!$AL$37="Media",'Mapa final'!$AN$37="Catastrófico"),CONCATENATE("R2C",'Mapa final'!$U$37),"")</f>
        <v/>
      </c>
      <c r="AK35" s="42" t="str">
        <f>IF(AND('Mapa final'!$AL$38="Media",'Mapa final'!$AN$38="Catastrófico"),CONCATENATE("R2C",'Mapa final'!$U$38),"")</f>
        <v/>
      </c>
      <c r="AL35" s="42" t="str">
        <f>IF(AND('Mapa final'!$AL$39="Media",'Mapa final'!$AN$39="Catastrófico"),CONCATENATE("R2C",'Mapa final'!$U$39),"")</f>
        <v/>
      </c>
      <c r="AM35" s="42" t="str">
        <f>IF(AND('Mapa final'!$AL$40="Media",'Mapa final'!$AN$40="LCatastrófico"),CONCATENATE("R2C",'Mapa final'!$U$40),"")</f>
        <v/>
      </c>
      <c r="AN35" s="43" t="str">
        <f>IF(AND('Mapa final'!$AL$41="Media",'Mapa final'!$AN$41="Catastrófico"),CONCATENATE("R2C",'Mapa final'!$U$41),"")</f>
        <v/>
      </c>
      <c r="AO35" s="69"/>
      <c r="AP35" s="511"/>
      <c r="AQ35" s="512"/>
      <c r="AR35" s="512"/>
      <c r="AS35" s="512"/>
      <c r="AT35" s="512"/>
      <c r="AU35" s="513"/>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81"/>
      <c r="D36" s="381"/>
      <c r="E36" s="382"/>
      <c r="F36" s="471"/>
      <c r="G36" s="472"/>
      <c r="H36" s="472"/>
      <c r="I36" s="472"/>
      <c r="J36" s="473"/>
      <c r="K36" s="53" t="str">
        <f>IF(AND('Mapa final'!$AL$42="Media",'Mapa final'!$AN$42="Leve"),CONCATENATE("R2C",'Mapa final'!$U$42),"")</f>
        <v/>
      </c>
      <c r="L36" s="54" t="str">
        <f>IF(AND('Mapa final'!$AL$43="Media",'Mapa final'!$AN$43="Leve"),CONCATENATE("R2C",'Mapa final'!$U$43),"")</f>
        <v/>
      </c>
      <c r="M36" s="54" t="str">
        <f>IF(AND('Mapa final'!$AL$44="Media",'Mapa final'!$AN$44="Leve"),CONCATENATE("R2C",'Mapa final'!$U$44),"")</f>
        <v/>
      </c>
      <c r="N36" s="54" t="str">
        <f>IF(AND('Mapa final'!$AL$45="Media",'Mapa final'!$AN$45="Leve"),CONCATENATE("R2C",'Mapa final'!$U$45),"")</f>
        <v/>
      </c>
      <c r="O36" s="54" t="str">
        <f>IF(AND('Mapa final'!$AL$46="Media",'Mapa final'!$AN$46="Leve"),CONCATENATE("R2C",'Mapa final'!$U$46),"")</f>
        <v/>
      </c>
      <c r="P36" s="55" t="str">
        <f>IF(AND('Mapa final'!$AL$47="Media",'Mapa final'!$AN$47="Leve"),CONCATENATE("R2C",'Mapa final'!$U$47),"")</f>
        <v/>
      </c>
      <c r="Q36" s="53" t="str">
        <f>IF(AND('Mapa final'!$AL$42="Media",'Mapa final'!$AN$42="Menor"),CONCATENATE("R2C",'Mapa final'!$U$42),"")</f>
        <v/>
      </c>
      <c r="R36" s="54" t="str">
        <f>IF(AND('Mapa final'!$AL$43="Media",'Mapa final'!$AN$43="Menor"),CONCATENATE("R2C",'Mapa final'!$U$43),"")</f>
        <v/>
      </c>
      <c r="S36" s="54" t="str">
        <f>IF(AND('Mapa final'!$AL$44="Media",'Mapa final'!$AN$44="Menor"),CONCATENATE("R2C",'Mapa final'!$U$44),"")</f>
        <v/>
      </c>
      <c r="T36" s="54" t="str">
        <f>IF(AND('Mapa final'!$AL$45="Media",'Mapa final'!$AN$45="Menor"),CONCATENATE("R2C",'Mapa final'!$U$45),"")</f>
        <v/>
      </c>
      <c r="U36" s="54" t="str">
        <f>IF(AND('Mapa final'!$AL$46="Media",'Mapa final'!$AN$46="Menor"),CONCATENATE("R2C",'Mapa final'!$U$46),"")</f>
        <v/>
      </c>
      <c r="V36" s="55" t="str">
        <f>IF(AND('Mapa final'!$AL$47="Media",'Mapa final'!$AN$47="Menor"),CONCATENATE("R2C",'Mapa final'!$U$47),"")</f>
        <v/>
      </c>
      <c r="W36" s="53" t="str">
        <f>IF(AND('Mapa final'!$AL$42="Media",'Mapa final'!$AN$42="Moderado"),CONCATENATE("R2C",'Mapa final'!$U$42),"")</f>
        <v/>
      </c>
      <c r="X36" s="54" t="str">
        <f>IF(AND('Mapa final'!$AL$43="Media",'Mapa final'!$AN$43="Moderado"),CONCATENATE("R2C",'Mapa final'!$U$43),"")</f>
        <v/>
      </c>
      <c r="Y36" s="54" t="str">
        <f>IF(AND('Mapa final'!$AL$44="Media",'Mapa final'!$AN$44="Moderado"),CONCATENATE("R2C",'Mapa final'!$U$44),"")</f>
        <v/>
      </c>
      <c r="Z36" s="54" t="str">
        <f>IF(AND('Mapa final'!$AL$45="Media",'Mapa final'!$AN$45="Moderado"),CONCATENATE("R2C",'Mapa final'!$U$45),"")</f>
        <v/>
      </c>
      <c r="AA36" s="54" t="str">
        <f>IF(AND('Mapa final'!$AL$46="Media",'Mapa final'!$AN$46="Moderado"),CONCATENATE("R2C",'Mapa final'!$U$46),"")</f>
        <v/>
      </c>
      <c r="AB36" s="55" t="str">
        <f>IF(AND('Mapa final'!$AL$47="Media",'Mapa final'!$AN$47="Moderado"),CONCATENATE("R2C",'Mapa final'!$U$47),"")</f>
        <v/>
      </c>
      <c r="AC36" s="38" t="str">
        <f>IF(AND('Mapa final'!$AL$42="Media",'Mapa final'!$AN$42="Mayor"),CONCATENATE("R2C",'Mapa final'!$U$42),"")</f>
        <v/>
      </c>
      <c r="AD36" s="39" t="str">
        <f>IF(AND('Mapa final'!$AL$43="Media",'Mapa final'!$AN$43="Mayor"),CONCATENATE("R2C",'Mapa final'!$U$43),"")</f>
        <v/>
      </c>
      <c r="AE36" s="39" t="str">
        <f>IF(AND('Mapa final'!$AL$44="Media",'Mapa final'!$AN$44="Mayor"),CONCATENATE("R2C",'Mapa final'!$U$44),"")</f>
        <v/>
      </c>
      <c r="AF36" s="39" t="str">
        <f>IF(AND('Mapa final'!$AL$45="Media",'Mapa final'!$AN$45="Mayor"),CONCATENATE("R2C",'Mapa final'!$U$45),"")</f>
        <v/>
      </c>
      <c r="AG36" s="39" t="str">
        <f>IF(AND('Mapa final'!$AL$46="Media",'Mapa final'!$AN$46="Mayor"),CONCATENATE("R2C",'Mapa final'!$U$46),"")</f>
        <v/>
      </c>
      <c r="AH36" s="40" t="str">
        <f>IF(AND('Mapa final'!$AL$47="Media",'Mapa final'!$AN$47="Mayor"),CONCATENATE("R2C",'Mapa final'!$U$47),"")</f>
        <v/>
      </c>
      <c r="AI36" s="41" t="str">
        <f>IF(AND('Mapa final'!$AL$42="Media",'Mapa final'!$AN$42="Catastrófico"),CONCATENATE("R2C",'Mapa final'!$U$42),"")</f>
        <v/>
      </c>
      <c r="AJ36" s="42" t="str">
        <f>IF(AND('Mapa final'!$AL$43="Media",'Mapa final'!$AN$43="Catastrófico"),CONCATENATE("R2C",'Mapa final'!$U$43),"")</f>
        <v/>
      </c>
      <c r="AK36" s="42" t="str">
        <f>IF(AND('Mapa final'!$AL$44="Media",'Mapa final'!$AN$44="Catastrófico"),CONCATENATE("R2C",'Mapa final'!$U$44),"")</f>
        <v/>
      </c>
      <c r="AL36" s="42" t="str">
        <f>IF(AND('Mapa final'!$AL$45="Media",'Mapa final'!$AN$45="Catastrófico"),CONCATENATE("R2C",'Mapa final'!$U$45),"")</f>
        <v/>
      </c>
      <c r="AM36" s="42" t="str">
        <f>IF(AND('Mapa final'!$AL$46="Media",'Mapa final'!$AN$46="Catastrófico"),CONCATENATE("R2C",'Mapa final'!$U$46),"")</f>
        <v/>
      </c>
      <c r="AN36" s="43" t="str">
        <f>IF(AND('Mapa final'!$AL$47="Media",'Mapa final'!$AN$47="Catastrófico"),CONCATENATE("R2C",'Mapa final'!$U$47),"")</f>
        <v/>
      </c>
      <c r="AO36" s="69"/>
      <c r="AP36" s="511"/>
      <c r="AQ36" s="512"/>
      <c r="AR36" s="512"/>
      <c r="AS36" s="512"/>
      <c r="AT36" s="512"/>
      <c r="AU36" s="513"/>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81"/>
      <c r="D37" s="381"/>
      <c r="E37" s="382"/>
      <c r="F37" s="471"/>
      <c r="G37" s="472"/>
      <c r="H37" s="472"/>
      <c r="I37" s="472"/>
      <c r="J37" s="473"/>
      <c r="K37" s="53" t="str">
        <f>IF(AND('Mapa final'!$AL$48="Media",'Mapa final'!$AN$48="Leve"),CONCATENATE("R2C",'Mapa final'!$U$48),"")</f>
        <v/>
      </c>
      <c r="L37" s="54" t="str">
        <f>IF(AND('Mapa final'!$AL$49="Media",'Mapa final'!$AN$49="Leve"),CONCATENATE("R2C",'Mapa final'!$U$49),"")</f>
        <v/>
      </c>
      <c r="M37" s="54" t="str">
        <f>IF(AND('Mapa final'!$AL$50="Media",'Mapa final'!$AN$50="Leve"),CONCATENATE("R2C",'Mapa final'!$U$50),"")</f>
        <v/>
      </c>
      <c r="N37" s="54" t="str">
        <f>IF(AND('Mapa final'!$AL$51="Media",'Mapa final'!$AN$51="Leve"),CONCATENATE("R2C",'Mapa final'!$U$51),"")</f>
        <v/>
      </c>
      <c r="O37" s="54" t="str">
        <f>IF(AND('Mapa final'!$AL$52="Media",'Mapa final'!$AN$52="Leve"),CONCATENATE("R2C",'Mapa final'!$U$52),"")</f>
        <v/>
      </c>
      <c r="P37" s="55" t="str">
        <f>IF(AND('Mapa final'!$AL$63="Media",'Mapa final'!$AN$53="Leve"),CONCATENATE("R2C",'Mapa final'!$U$53),"")</f>
        <v/>
      </c>
      <c r="Q37" s="53" t="str">
        <f>IF(AND('Mapa final'!$AL$48="Media",'Mapa final'!$AN$48="Menor"),CONCATENATE("R2C",'Mapa final'!$U$48),"")</f>
        <v/>
      </c>
      <c r="R37" s="54" t="str">
        <f>IF(AND('Mapa final'!$AL$49="Media",'Mapa final'!$AN$49="Menor"),CONCATENATE("R2C",'Mapa final'!$U$49),"")</f>
        <v/>
      </c>
      <c r="S37" s="54" t="str">
        <f>IF(AND('Mapa final'!$AL$50="Media",'Mapa final'!$AN$50="Menor"),CONCATENATE("R2C",'Mapa final'!$U$50),"")</f>
        <v/>
      </c>
      <c r="T37" s="54" t="str">
        <f>IF(AND('Mapa final'!$AL$51="Media",'Mapa final'!$AN$51="Menor"),CONCATENATE("R2C",'Mapa final'!$U$51),"")</f>
        <v/>
      </c>
      <c r="U37" s="54" t="str">
        <f>IF(AND('Mapa final'!$AL$52="Media",'Mapa final'!$AN$52="Menor"),CONCATENATE("R2C",'Mapa final'!$U$52),"")</f>
        <v/>
      </c>
      <c r="V37" s="55" t="str">
        <f>IF(AND('Mapa final'!$AL$63="Media",'Mapa final'!$AN$53="Menor"),CONCATENATE("R2C",'Mapa final'!$U$53),"")</f>
        <v/>
      </c>
      <c r="W37" s="53" t="str">
        <f>IF(AND('Mapa final'!$AL$48="Media",'Mapa final'!$AN$48="Moderado"),CONCATENATE("R2C",'Mapa final'!$U$48),"")</f>
        <v/>
      </c>
      <c r="X37" s="54" t="str">
        <f>IF(AND('Mapa final'!$AL$49="Media",'Mapa final'!$AN$49="Moderado"),CONCATENATE("R2C",'Mapa final'!$U$49),"")</f>
        <v/>
      </c>
      <c r="Y37" s="54" t="str">
        <f>IF(AND('Mapa final'!$AL$50="Media",'Mapa final'!$AN$50="Moderado"),CONCATENATE("R2C",'Mapa final'!$U$50),"")</f>
        <v/>
      </c>
      <c r="Z37" s="54" t="str">
        <f>IF(AND('Mapa final'!$AL$51="Media",'Mapa final'!$AN$51="Moderado"),CONCATENATE("R2C",'Mapa final'!$U$51),"")</f>
        <v/>
      </c>
      <c r="AA37" s="54" t="str">
        <f>IF(AND('Mapa final'!$AL$52="Media",'Mapa final'!$AN$52="Moderado"),CONCATENATE("R2C",'Mapa final'!$U$52),"")</f>
        <v/>
      </c>
      <c r="AB37" s="55" t="str">
        <f>IF(AND('Mapa final'!$AL$63="Media",'Mapa final'!$AN$53="Moderado"),CONCATENATE("R2C",'Mapa final'!$U$53),"")</f>
        <v/>
      </c>
      <c r="AC37" s="38" t="str">
        <f>IF(AND('Mapa final'!$AL$48="Media",'Mapa final'!$AN$48="Mayor"),CONCATENATE("R2C",'Mapa final'!$U$48),"")</f>
        <v/>
      </c>
      <c r="AD37" s="39" t="str">
        <f>IF(AND('Mapa final'!$AL$49="Media",'Mapa final'!$AN$49="Mayor"),CONCATENATE("R2C",'Mapa final'!$U$49),"")</f>
        <v/>
      </c>
      <c r="AE37" s="39" t="str">
        <f>IF(AND('Mapa final'!$AL$50="Media",'Mapa final'!$AN$50="Mayor"),CONCATENATE("R2C",'Mapa final'!$U$50),"")</f>
        <v/>
      </c>
      <c r="AF37" s="39" t="str">
        <f>IF(AND('Mapa final'!$AL$51="Media",'Mapa final'!$AN$51="Mayor"),CONCATENATE("R2C",'Mapa final'!$U$51),"")</f>
        <v/>
      </c>
      <c r="AG37" s="39" t="str">
        <f>IF(AND('Mapa final'!$AL$52="Media",'Mapa final'!$AN$52="Mayor"),CONCATENATE("R2C",'Mapa final'!$U$52),"")</f>
        <v/>
      </c>
      <c r="AH37" s="40" t="str">
        <f>IF(AND('Mapa final'!$AL$63="Media",'Mapa final'!$AN$53="Mayor"),CONCATENATE("R2C",'Mapa final'!$U$53),"")</f>
        <v/>
      </c>
      <c r="AI37" s="41" t="str">
        <f>IF(AND('Mapa final'!$AL$48="Media",'Mapa final'!$AN$48="Catastrófico"),CONCATENATE("R2C",'Mapa final'!$U$48),"")</f>
        <v/>
      </c>
      <c r="AJ37" s="42" t="str">
        <f>IF(AND('Mapa final'!$AL$49="Media",'Mapa final'!$AN$49="Catastrófico"),CONCATENATE("R2C",'Mapa final'!$U$49),"")</f>
        <v/>
      </c>
      <c r="AK37" s="42" t="str">
        <f>IF(AND('Mapa final'!$AL$50="Media",'Mapa final'!$AN$50="Catastrófico"),CONCATENATE("R2C",'Mapa final'!$U$50),"")</f>
        <v/>
      </c>
      <c r="AL37" s="42" t="str">
        <f>IF(AND('Mapa final'!$AL$51="Media",'Mapa final'!$AN$51="Catastrófico"),CONCATENATE("R2C",'Mapa final'!$U$51),"")</f>
        <v/>
      </c>
      <c r="AM37" s="42" t="str">
        <f>IF(AND('Mapa final'!$AL$52="Media",'Mapa final'!$AN$52="Catastrófico"),CONCATENATE("R2C",'Mapa final'!$U$52),"")</f>
        <v/>
      </c>
      <c r="AN37" s="43" t="str">
        <f>IF(AND('Mapa final'!$AL$63="Media",'Mapa final'!$AN$53="Catastrófico"),CONCATENATE("R2C",'Mapa final'!$U$53),"")</f>
        <v/>
      </c>
      <c r="AO37" s="69"/>
      <c r="AP37" s="511"/>
      <c r="AQ37" s="512"/>
      <c r="AR37" s="512"/>
      <c r="AS37" s="512"/>
      <c r="AT37" s="512"/>
      <c r="AU37" s="513"/>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81"/>
      <c r="D38" s="381"/>
      <c r="E38" s="382"/>
      <c r="F38" s="471"/>
      <c r="G38" s="472"/>
      <c r="H38" s="472"/>
      <c r="I38" s="472"/>
      <c r="J38" s="473"/>
      <c r="K38" s="53" t="str">
        <f>IF(AND('Mapa final'!$AL$54="Media",'Mapa final'!$AN$54="Leve"),CONCATENATE("R2C",'Mapa final'!$U$54),"")</f>
        <v/>
      </c>
      <c r="L38" s="54" t="str">
        <f>IF(AND('Mapa final'!$AL$55="Media",'Mapa final'!$AN$55="Leve"),CONCATENATE("R2C",'Mapa final'!$U$55),"")</f>
        <v/>
      </c>
      <c r="M38" s="54" t="str">
        <f>IF(AND('Mapa final'!$AL$56="Media",'Mapa final'!$AN$56="Leve"),CONCATENATE("R2C",'Mapa final'!$U$56),"")</f>
        <v/>
      </c>
      <c r="N38" s="54" t="str">
        <f>IF(AND('Mapa final'!$AL$57="Media",'Mapa final'!$AN$57="Leve"),CONCATENATE("R2C",'Mapa final'!$U$57),"")</f>
        <v/>
      </c>
      <c r="O38" s="54" t="str">
        <f>IF(AND('Mapa final'!$AL$58="Media",'Mapa final'!$AN$58="Leve"),CONCATENATE("R2C",'Mapa final'!$U$58),"")</f>
        <v/>
      </c>
      <c r="P38" s="55" t="str">
        <f>IF(AND('Mapa final'!$AL$59="Media",'Mapa final'!$AN$59="Leve"),CONCATENATE("R2C",'Mapa final'!$U$59),"")</f>
        <v/>
      </c>
      <c r="Q38" s="53" t="str">
        <f>IF(AND('Mapa final'!$AL$54="Media",'Mapa final'!$AN$54="Menor"),CONCATENATE("R2C",'Mapa final'!$U$54),"")</f>
        <v/>
      </c>
      <c r="R38" s="54" t="str">
        <f>IF(AND('Mapa final'!$AL$55="Media",'Mapa final'!$AN$55="Menor"),CONCATENATE("R2C",'Mapa final'!$U$55),"")</f>
        <v/>
      </c>
      <c r="S38" s="54" t="str">
        <f>IF(AND('Mapa final'!$AL$56="Media",'Mapa final'!$AN$56="Menor"),CONCATENATE("R2C",'Mapa final'!$U$56),"")</f>
        <v/>
      </c>
      <c r="T38" s="54" t="str">
        <f>IF(AND('Mapa final'!$AL$57="Media",'Mapa final'!$AN$57="Menor"),CONCATENATE("R2C",'Mapa final'!$U$57),"")</f>
        <v/>
      </c>
      <c r="U38" s="54" t="str">
        <f>IF(AND('Mapa final'!$AL$58="Media",'Mapa final'!$AN$58="Menor"),CONCATENATE("R2C",'Mapa final'!$U$58),"")</f>
        <v/>
      </c>
      <c r="V38" s="55" t="str">
        <f>IF(AND('Mapa final'!$AL$59="Media",'Mapa final'!$AN$59="Menor"),CONCATENATE("R2C",'Mapa final'!$U$59),"")</f>
        <v/>
      </c>
      <c r="W38" s="53" t="str">
        <f>IF(AND('Mapa final'!$AL$54="Media",'Mapa final'!$AN$54="Moderado"),CONCATENATE("R2C",'Mapa final'!$U$54),"")</f>
        <v/>
      </c>
      <c r="X38" s="54" t="str">
        <f>IF(AND('Mapa final'!$AL$55="Media",'Mapa final'!$AN$55="Moderado"),CONCATENATE("R2C",'Mapa final'!$U$55),"")</f>
        <v/>
      </c>
      <c r="Y38" s="54" t="str">
        <f>IF(AND('Mapa final'!$AL$56="Media",'Mapa final'!$AN$56="Moderado"),CONCATENATE("R2C",'Mapa final'!$U$56),"")</f>
        <v/>
      </c>
      <c r="Z38" s="54" t="str">
        <f>IF(AND('Mapa final'!$AL$57="Media",'Mapa final'!$AN$57="Moderado"),CONCATENATE("R2C",'Mapa final'!$U$57),"")</f>
        <v/>
      </c>
      <c r="AA38" s="54" t="str">
        <f>IF(AND('Mapa final'!$AL$58="Media",'Mapa final'!$AN$58="Moderado"),CONCATENATE("R2C",'Mapa final'!$U$58),"")</f>
        <v/>
      </c>
      <c r="AB38" s="55" t="str">
        <f>IF(AND('Mapa final'!$AL$59="Media",'Mapa final'!$AN$59="Moderado"),CONCATENATE("R2C",'Mapa final'!$U$59),"")</f>
        <v/>
      </c>
      <c r="AC38" s="38" t="str">
        <f>IF(AND('Mapa final'!$AL$54="Media",'Mapa final'!$AN$54="Mayor"),CONCATENATE("R2C",'Mapa final'!$U$54),"")</f>
        <v/>
      </c>
      <c r="AD38" s="39" t="str">
        <f>IF(AND('Mapa final'!$AL$55="Media",'Mapa final'!$AN$55="Mayor"),CONCATENATE("R2C",'Mapa final'!$U$55),"")</f>
        <v/>
      </c>
      <c r="AE38" s="39" t="str">
        <f>IF(AND('Mapa final'!$AL$56="Media",'Mapa final'!$AN$56="Mayor"),CONCATENATE("R2C",'Mapa final'!$U$56),"")</f>
        <v/>
      </c>
      <c r="AF38" s="39" t="str">
        <f>IF(AND('Mapa final'!$AL$57="Media",'Mapa final'!$AN$57="Mayor"),CONCATENATE("R2C",'Mapa final'!$U$57),"")</f>
        <v/>
      </c>
      <c r="AG38" s="39" t="str">
        <f>IF(AND('Mapa final'!$AL$58="Media",'Mapa final'!$AN$58="Mayor"),CONCATENATE("R2C",'Mapa final'!$U$58),"")</f>
        <v/>
      </c>
      <c r="AH38" s="40" t="str">
        <f>IF(AND('Mapa final'!$AL$59="Media",'Mapa final'!$AN$59="Mayor"),CONCATENATE("R2C",'Mapa final'!$U$59),"")</f>
        <v/>
      </c>
      <c r="AI38" s="41" t="str">
        <f>IF(AND('Mapa final'!$AL$54="Media",'Mapa final'!$AN$54="Catastrófico"),CONCATENATE("R2C",'Mapa final'!$U$54),"")</f>
        <v/>
      </c>
      <c r="AJ38" s="42" t="str">
        <f>IF(AND('Mapa final'!$AL$55="Media",'Mapa final'!$AN$55="Catastrófico"),CONCATENATE("R2C",'Mapa final'!$U$55),"")</f>
        <v/>
      </c>
      <c r="AK38" s="42" t="str">
        <f>IF(AND('Mapa final'!$AL$56="Media",'Mapa final'!$AN$56="Catastrófico"),CONCATENATE("R2C",'Mapa final'!$U$56),"")</f>
        <v/>
      </c>
      <c r="AL38" s="42" t="str">
        <f>IF(AND('Mapa final'!$AL$57="Media",'Mapa final'!$AN$57="Catastrófico"),CONCATENATE("R2C",'Mapa final'!$U$57),"")</f>
        <v/>
      </c>
      <c r="AM38" s="42" t="str">
        <f>IF(AND('Mapa final'!$AL$58="Media",'Mapa final'!$AN$58="Catastrófico"),CONCATENATE("R2C",'Mapa final'!$U$58),"")</f>
        <v/>
      </c>
      <c r="AN38" s="43" t="str">
        <f>IF(AND('Mapa final'!$AL$59="Media",'Mapa final'!$AN$59="Catastrófico"),CONCATENATE("R2C",'Mapa final'!$U$59),"")</f>
        <v/>
      </c>
      <c r="AO38" s="69"/>
      <c r="AP38" s="511"/>
      <c r="AQ38" s="512"/>
      <c r="AR38" s="512"/>
      <c r="AS38" s="512"/>
      <c r="AT38" s="512"/>
      <c r="AU38" s="513"/>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81"/>
      <c r="D39" s="381"/>
      <c r="E39" s="382"/>
      <c r="F39" s="471"/>
      <c r="G39" s="472"/>
      <c r="H39" s="472"/>
      <c r="I39" s="472"/>
      <c r="J39" s="473"/>
      <c r="K39" s="53" t="str">
        <f>IF(AND('Mapa final'!$AL$60="Media",'Mapa final'!$AN$60="Leve"),CONCATENATE("R2C",'Mapa final'!$U$60),"")</f>
        <v/>
      </c>
      <c r="L39" s="54" t="str">
        <f>IF(AND('Mapa final'!$AL$61="Media",'Mapa final'!$AN$61="Leve"),CONCATENATE("R2C",'Mapa final'!$U$61),"")</f>
        <v/>
      </c>
      <c r="M39" s="54" t="str">
        <f>IF(AND('Mapa final'!$AL$62="Media",'Mapa final'!$AN$62="Leve"),CONCATENATE("R2C",'Mapa final'!$U$62),"")</f>
        <v/>
      </c>
      <c r="N39" s="54" t="str">
        <f>IF(AND('Mapa final'!$AL$63="Media",'Mapa final'!$AN$63="Leve"),CONCATENATE("R2C",'Mapa final'!$U$63),"")</f>
        <v/>
      </c>
      <c r="O39" s="54" t="str">
        <f>IF(AND('Mapa final'!$AL$64="Media",'Mapa final'!$AN$64="Leve"),CONCATENATE("R2C",'Mapa final'!$U$64),"")</f>
        <v/>
      </c>
      <c r="P39" s="55" t="str">
        <f>IF(AND('Mapa final'!$AL$65="Media",'Mapa final'!$AN$65="Leve"),CONCATENATE("R2C",'Mapa final'!$U$65),"")</f>
        <v/>
      </c>
      <c r="Q39" s="53" t="str">
        <f>IF(AND('Mapa final'!$AL$60="Media",'Mapa final'!$AN$60="Menor"),CONCATENATE("R2C",'Mapa final'!$U$60),"")</f>
        <v/>
      </c>
      <c r="R39" s="54" t="str">
        <f>IF(AND('Mapa final'!$AL$61="Media",'Mapa final'!$AN$61="Menor"),CONCATENATE("R2C",'Mapa final'!$U$61),"")</f>
        <v/>
      </c>
      <c r="S39" s="54" t="str">
        <f>IF(AND('Mapa final'!$AL$62="Media",'Mapa final'!$AN$62="Menor"),CONCATENATE("R2C",'Mapa final'!$U$62),"")</f>
        <v/>
      </c>
      <c r="T39" s="54" t="str">
        <f>IF(AND('Mapa final'!$AL$63="Media",'Mapa final'!$AN$63="Menor"),CONCATENATE("R2C",'Mapa final'!$U$63),"")</f>
        <v/>
      </c>
      <c r="U39" s="54" t="str">
        <f>IF(AND('Mapa final'!$AL$64="Media",'Mapa final'!$AN$64="Menor"),CONCATENATE("R2C",'Mapa final'!$U$64),"")</f>
        <v/>
      </c>
      <c r="V39" s="55" t="str">
        <f>IF(AND('Mapa final'!$AL$65="Media",'Mapa final'!$AN$65="Menor"),CONCATENATE("R2C",'Mapa final'!$U$65),"")</f>
        <v/>
      </c>
      <c r="W39" s="53" t="str">
        <f>IF(AND('Mapa final'!$AL$60="Media",'Mapa final'!$AN$60="Moderado"),CONCATENATE("R2C",'Mapa final'!$U$60),"")</f>
        <v/>
      </c>
      <c r="X39" s="54" t="str">
        <f>IF(AND('Mapa final'!$AL$61="Media",'Mapa final'!$AN$61="Moderado"),CONCATENATE("R2C",'Mapa final'!$U$61),"")</f>
        <v/>
      </c>
      <c r="Y39" s="54" t="str">
        <f>IF(AND('Mapa final'!$AL$62="Media",'Mapa final'!$AN$62="Moderado"),CONCATENATE("R2C",'Mapa final'!$U$62),"")</f>
        <v/>
      </c>
      <c r="Z39" s="54" t="str">
        <f>IF(AND('Mapa final'!$AL$63="Media",'Mapa final'!$AN$63="Moderado"),CONCATENATE("R2C",'Mapa final'!$U$63),"")</f>
        <v/>
      </c>
      <c r="AA39" s="54" t="str">
        <f>IF(AND('Mapa final'!$AL$64="Media",'Mapa final'!$AN$64="Moderado"),CONCATENATE("R2C",'Mapa final'!$U$64),"")</f>
        <v/>
      </c>
      <c r="AB39" s="55" t="str">
        <f>IF(AND('Mapa final'!$AL$65="Media",'Mapa final'!$AN$65="Moderado"),CONCATENATE("R2C",'Mapa final'!$U$65),"")</f>
        <v/>
      </c>
      <c r="AC39" s="38" t="str">
        <f>IF(AND('Mapa final'!$AL$60="Media",'Mapa final'!$AN$60="Mayor"),CONCATENATE("R2C",'Mapa final'!$U$60),"")</f>
        <v/>
      </c>
      <c r="AD39" s="39" t="str">
        <f>IF(AND('Mapa final'!$AL$61="Media",'Mapa final'!$AN$61="Mayor"),CONCATENATE("R2C",'Mapa final'!$U$61),"")</f>
        <v/>
      </c>
      <c r="AE39" s="39" t="str">
        <f>IF(AND('Mapa final'!$AL$62="Media",'Mapa final'!$AN$62="Mayor"),CONCATENATE("R2C",'Mapa final'!$U$62),"")</f>
        <v/>
      </c>
      <c r="AF39" s="39" t="str">
        <f>IF(AND('Mapa final'!$AL$63="Media",'Mapa final'!$AN$63="Mayor"),CONCATENATE("R2C",'Mapa final'!$U$63),"")</f>
        <v/>
      </c>
      <c r="AG39" s="39" t="str">
        <f>IF(AND('Mapa final'!$AL$64="Media",'Mapa final'!$AN$64="Mayor"),CONCATENATE("R2C",'Mapa final'!$U$64),"")</f>
        <v/>
      </c>
      <c r="AH39" s="40" t="str">
        <f>IF(AND('Mapa final'!$AL$65="Media",'Mapa final'!$AN$65="Mayor"),CONCATENATE("R2C",'Mapa final'!$U$65),"")</f>
        <v/>
      </c>
      <c r="AI39" s="41" t="str">
        <f>IF(AND('Mapa final'!$AL$60="Media",'Mapa final'!$AN$60="Catastrófico"),CONCATENATE("R2C",'Mapa final'!$U$60),"")</f>
        <v/>
      </c>
      <c r="AJ39" s="42" t="str">
        <f>IF(AND('Mapa final'!$AL$61="Media",'Mapa final'!$AN$61="Catastrófico"),CONCATENATE("R2C",'Mapa final'!$U$61),"")</f>
        <v/>
      </c>
      <c r="AK39" s="42" t="str">
        <f>IF(AND('Mapa final'!$AL$62="Media",'Mapa final'!$AN$62="Catastrófico"),CONCATENATE("R2C",'Mapa final'!$U$62),"")</f>
        <v/>
      </c>
      <c r="AL39" s="42" t="str">
        <f>IF(AND('Mapa final'!$AL$63="Media",'Mapa final'!$AN$63="Catastrófico"),CONCATENATE("R2C",'Mapa final'!$U$63),"")</f>
        <v/>
      </c>
      <c r="AM39" s="42" t="str">
        <f>IF(AND('Mapa final'!$AL$64="Media",'Mapa final'!$AN$64="Catastrófico"),CONCATENATE("R2C",'Mapa final'!$U$64),"")</f>
        <v/>
      </c>
      <c r="AN39" s="43" t="str">
        <f>IF(AND('Mapa final'!$AL$65="Media",'Mapa final'!$AN$65="Catastrófico"),CONCATENATE("R2C",'Mapa final'!$U$65),"")</f>
        <v/>
      </c>
      <c r="AO39" s="69"/>
      <c r="AP39" s="511"/>
      <c r="AQ39" s="512"/>
      <c r="AR39" s="512"/>
      <c r="AS39" s="512"/>
      <c r="AT39" s="512"/>
      <c r="AU39" s="513"/>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81"/>
      <c r="D40" s="381"/>
      <c r="E40" s="382"/>
      <c r="F40" s="471"/>
      <c r="G40" s="472"/>
      <c r="H40" s="472"/>
      <c r="I40" s="472"/>
      <c r="J40" s="473"/>
      <c r="K40" s="53" t="str">
        <f>IF(AND('Mapa final'!$AL$66="Media",'Mapa final'!$AN$66="Leve"),CONCATENATE("R2C",'Mapa final'!$U$66),"")</f>
        <v/>
      </c>
      <c r="L40" s="54" t="str">
        <f>IF(AND('Mapa final'!$AL$67="Media",'Mapa final'!$AN$67="Leve"),CONCATENATE("R2C",'Mapa final'!$U$67),"")</f>
        <v/>
      </c>
      <c r="M40" s="54" t="str">
        <f>IF(AND('Mapa final'!$AL$68="Media",'Mapa final'!$AN$68="Leve"),CONCATENATE("R2C",'Mapa final'!$U$68),"")</f>
        <v/>
      </c>
      <c r="N40" s="54" t="str">
        <f>IF(AND('Mapa final'!$AL$69="Media",'Mapa final'!$AN$69="Leve"),CONCATENATE("R2C",'Mapa final'!$U$69),"")</f>
        <v/>
      </c>
      <c r="O40" s="54" t="str">
        <f>IF(AND('Mapa final'!$AL$70="Media",'Mapa final'!$AN$70="Leve"),CONCATENATE("R2C",'Mapa final'!$U$70),"")</f>
        <v/>
      </c>
      <c r="P40" s="55" t="str">
        <f>IF(AND('Mapa final'!$AL$71="Media",'Mapa final'!$AN$71="Leve"),CONCATENATE("R2C",'Mapa final'!$U$71),"")</f>
        <v/>
      </c>
      <c r="Q40" s="53" t="str">
        <f>IF(AND('Mapa final'!$AL$66="Media",'Mapa final'!$AN$66="Menor"),CONCATENATE("R2C",'Mapa final'!$U$66),"")</f>
        <v/>
      </c>
      <c r="R40" s="54" t="str">
        <f>IF(AND('Mapa final'!$AL$67="Media",'Mapa final'!$AN$67="Menor"),CONCATENATE("R2C",'Mapa final'!$U$67),"")</f>
        <v/>
      </c>
      <c r="S40" s="54" t="str">
        <f>IF(AND('Mapa final'!$AL$68="Media",'Mapa final'!$AN$68="Menor"),CONCATENATE("R2C",'Mapa final'!$U$68),"")</f>
        <v/>
      </c>
      <c r="T40" s="54" t="str">
        <f>IF(AND('Mapa final'!$AL$69="Media",'Mapa final'!$AN$69="Menor"),CONCATENATE("R2C",'Mapa final'!$U$69),"")</f>
        <v/>
      </c>
      <c r="U40" s="54" t="str">
        <f>IF(AND('Mapa final'!$AL$70="Media",'Mapa final'!$AN$70="Menor"),CONCATENATE("R2C",'Mapa final'!$U$70),"")</f>
        <v/>
      </c>
      <c r="V40" s="55" t="str">
        <f>IF(AND('Mapa final'!$AL$71="Media",'Mapa final'!$AN$71="Menor"),CONCATENATE("R2C",'Mapa final'!$U$71),"")</f>
        <v/>
      </c>
      <c r="W40" s="53" t="str">
        <f>IF(AND('Mapa final'!$AL$66="Media",'Mapa final'!$AN$66="Moderado"),CONCATENATE("R2C",'Mapa final'!$U$66),"")</f>
        <v/>
      </c>
      <c r="X40" s="54" t="str">
        <f>IF(AND('Mapa final'!$AL$67="Media",'Mapa final'!$AN$67="Moderado"),CONCATENATE("R2C",'Mapa final'!$U$67),"")</f>
        <v/>
      </c>
      <c r="Y40" s="54" t="str">
        <f>IF(AND('Mapa final'!$AL$68="Media",'Mapa final'!$AN$68="Moderado"),CONCATENATE("R2C",'Mapa final'!$U$68),"")</f>
        <v/>
      </c>
      <c r="Z40" s="54" t="str">
        <f>IF(AND('Mapa final'!$AL$69="Media",'Mapa final'!$AN$69="Moderado"),CONCATENATE("R2C",'Mapa final'!$U$69),"")</f>
        <v/>
      </c>
      <c r="AA40" s="54" t="str">
        <f>IF(AND('Mapa final'!$AL$70="Media",'Mapa final'!$AN$70="Moderado"),CONCATENATE("R2C",'Mapa final'!$U$70),"")</f>
        <v/>
      </c>
      <c r="AB40" s="55" t="str">
        <f>IF(AND('Mapa final'!$AL$71="Media",'Mapa final'!$AN$71="Moderado"),CONCATENATE("R2C",'Mapa final'!$U$71),"")</f>
        <v/>
      </c>
      <c r="AC40" s="38" t="str">
        <f>IF(AND('Mapa final'!$AL$66="Media",'Mapa final'!$AN$66="Mayor"),CONCATENATE("R2C",'Mapa final'!$U$66),"")</f>
        <v/>
      </c>
      <c r="AD40" s="39" t="str">
        <f>IF(AND('Mapa final'!$AL$67="Media",'Mapa final'!$AN$67="Mayor"),CONCATENATE("R2C",'Mapa final'!$U$67),"")</f>
        <v/>
      </c>
      <c r="AE40" s="39" t="str">
        <f>IF(AND('Mapa final'!$AL$68="Media",'Mapa final'!$AN$68="Mayor"),CONCATENATE("R2C",'Mapa final'!$U$68),"")</f>
        <v/>
      </c>
      <c r="AF40" s="39" t="str">
        <f>IF(AND('Mapa final'!$AL$69="Media",'Mapa final'!$AN$69="Mayor"),CONCATENATE("R2C",'Mapa final'!$U$69),"")</f>
        <v/>
      </c>
      <c r="AG40" s="39" t="str">
        <f>IF(AND('Mapa final'!$AL$70="Media",'Mapa final'!$AN$70="Mayor"),CONCATENATE("R2C",'Mapa final'!$U$70),"")</f>
        <v/>
      </c>
      <c r="AH40" s="40" t="str">
        <f>IF(AND('Mapa final'!$AL$71="Media",'Mapa final'!$AN$71="Mayor"),CONCATENATE("R2C",'Mapa final'!$U$71),"")</f>
        <v/>
      </c>
      <c r="AI40" s="41" t="str">
        <f>IF(AND('Mapa final'!$AL$66="Media",'Mapa final'!$AN$66="Catastrófico"),CONCATENATE("R2C",'Mapa final'!$U$66),"")</f>
        <v/>
      </c>
      <c r="AJ40" s="42" t="str">
        <f>IF(AND('Mapa final'!$AL$67="Media",'Mapa final'!$AN$67="Catastrófico"),CONCATENATE("R2C",'Mapa final'!$U$67),"")</f>
        <v/>
      </c>
      <c r="AK40" s="42" t="str">
        <f>IF(AND('Mapa final'!$AL$68="Media",'Mapa final'!$AN$68="Catastrófico"),CONCATENATE("R2C",'Mapa final'!$U$68),"")</f>
        <v/>
      </c>
      <c r="AL40" s="42" t="str">
        <f>IF(AND('Mapa final'!$AL$69="Media",'Mapa final'!$AN$69="Catastrófico"),CONCATENATE("R2C",'Mapa final'!$U$69),"")</f>
        <v/>
      </c>
      <c r="AM40" s="42" t="str">
        <f>IF(AND('Mapa final'!$AL$70="Media",'Mapa final'!$AN$70="Catastrófico"),CONCATENATE("R2C",'Mapa final'!$U$70),"")</f>
        <v/>
      </c>
      <c r="AN40" s="43" t="str">
        <f>IF(AND('Mapa final'!$AL$71="Media",'Mapa final'!$AN$71="Catastrófico"),CONCATENATE("R2C",'Mapa final'!$U$71),"")</f>
        <v/>
      </c>
      <c r="AO40" s="69"/>
      <c r="AP40" s="511"/>
      <c r="AQ40" s="512"/>
      <c r="AR40" s="512"/>
      <c r="AS40" s="512"/>
      <c r="AT40" s="512"/>
      <c r="AU40" s="513"/>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81"/>
      <c r="D41" s="381"/>
      <c r="E41" s="382"/>
      <c r="F41" s="474"/>
      <c r="G41" s="475"/>
      <c r="H41" s="475"/>
      <c r="I41" s="475"/>
      <c r="J41" s="476"/>
      <c r="K41" s="53" t="str">
        <f>IF(AND('Mapa final'!$AL$72="Media",'Mapa final'!$AN$72="Leve"),CONCATENATE("R2C",'Mapa final'!$U$72),"")</f>
        <v/>
      </c>
      <c r="L41" s="54" t="str">
        <f>IF(AND('Mapa final'!$AL$73="Media",'Mapa final'!$AN$73="Leve"),CONCATENATE("R2C",'Mapa final'!$U$73),"")</f>
        <v/>
      </c>
      <c r="M41" s="54" t="str">
        <f>IF(AND('Mapa final'!$AL$74="Media",'Mapa final'!$AN$74="Leve"),CONCATENATE("R2C",'Mapa final'!$U$74),"")</f>
        <v/>
      </c>
      <c r="N41" s="54" t="str">
        <f>IF(AND('Mapa final'!$AL$75="Media",'Mapa final'!$AN$75="Leve"),CONCATENATE("R2C",'Mapa final'!$U$75),"")</f>
        <v/>
      </c>
      <c r="O41" s="54" t="str">
        <f>IF(AND('Mapa final'!$AL$77="Media",'Mapa final'!$AN$77="Leve"),CONCATENATE("R2C",'Mapa final'!$U$77),"")</f>
        <v/>
      </c>
      <c r="P41" s="55" t="str">
        <f>IF(AND('Mapa final'!$AL$78="Media",'Mapa final'!$AN$78="Leve"),CONCATENATE("R2C",'Mapa final'!$U$78),"")</f>
        <v/>
      </c>
      <c r="Q41" s="53" t="str">
        <f>IF(AND('Mapa final'!$AL$72="Media",'Mapa final'!$AN$72="Menor"),CONCATENATE("R2C",'Mapa final'!$U$72),"")</f>
        <v/>
      </c>
      <c r="R41" s="54" t="str">
        <f>IF(AND('Mapa final'!$AL$73="Media",'Mapa final'!$AN$73="Menor"),CONCATENATE("R2C",'Mapa final'!$U$73),"")</f>
        <v/>
      </c>
      <c r="S41" s="54" t="str">
        <f>IF(AND('Mapa final'!$AL$74="Media",'Mapa final'!$AN$74="Menor"),CONCATENATE("R2C",'Mapa final'!$U$74),"")</f>
        <v/>
      </c>
      <c r="T41" s="54" t="str">
        <f>IF(AND('Mapa final'!$AL$75="Media",'Mapa final'!$AN$75="Menor"),CONCATENATE("R2C",'Mapa final'!$U$75),"")</f>
        <v/>
      </c>
      <c r="U41" s="54" t="str">
        <f>IF(AND('Mapa final'!$AL$77="Media",'Mapa final'!$AN$77="Menor"),CONCATENATE("R2C",'Mapa final'!$U$77),"")</f>
        <v/>
      </c>
      <c r="V41" s="55" t="str">
        <f>IF(AND('Mapa final'!$AL$78="Media",'Mapa final'!$AN$78="Menor"),CONCATENATE("R2C",'Mapa final'!$U$78),"")</f>
        <v/>
      </c>
      <c r="W41" s="53" t="str">
        <f>IF(AND('Mapa final'!$AL$72="Media",'Mapa final'!$AN$72="Moderado"),CONCATENATE("R2C",'Mapa final'!$U$72),"")</f>
        <v/>
      </c>
      <c r="X41" s="54" t="str">
        <f>IF(AND('Mapa final'!$AL$73="Media",'Mapa final'!$AN$73="Moderado"),CONCATENATE("R2C",'Mapa final'!$U$73),"")</f>
        <v/>
      </c>
      <c r="Y41" s="54" t="str">
        <f>IF(AND('Mapa final'!$AL$74="Media",'Mapa final'!$AN$74="Moderado"),CONCATENATE("R2C",'Mapa final'!$U$74),"")</f>
        <v/>
      </c>
      <c r="Z41" s="54" t="str">
        <f>IF(AND('Mapa final'!$AL$75="Media",'Mapa final'!$AN$75="Moderado"),CONCATENATE("R2C",'Mapa final'!$U$75),"")</f>
        <v/>
      </c>
      <c r="AA41" s="54" t="str">
        <f>IF(AND('Mapa final'!$AL$77="Media",'Mapa final'!$AN$77="Moderado"),CONCATENATE("R2C",'Mapa final'!$U$77),"")</f>
        <v/>
      </c>
      <c r="AB41" s="55" t="str">
        <f>IF(AND('Mapa final'!$AL$78="Media",'Mapa final'!$AN$78="Moderado"),CONCATENATE("R2C",'Mapa final'!$U$78),"")</f>
        <v/>
      </c>
      <c r="AC41" s="38" t="str">
        <f>IF(AND('Mapa final'!$AL$72="Media",'Mapa final'!$AN$72="Mayor"),CONCATENATE("R2C",'Mapa final'!$U$72),"")</f>
        <v/>
      </c>
      <c r="AD41" s="39" t="str">
        <f>IF(AND('Mapa final'!$AL$73="Media",'Mapa final'!$AN$73="Mayor"),CONCATENATE("R2C",'Mapa final'!$U$73),"")</f>
        <v/>
      </c>
      <c r="AE41" s="39" t="str">
        <f>IF(AND('Mapa final'!$AL$74="Media",'Mapa final'!$AN$74="Mayor"),CONCATENATE("R2C",'Mapa final'!$U$74),"")</f>
        <v/>
      </c>
      <c r="AF41" s="39" t="str">
        <f>IF(AND('Mapa final'!$AL$75="Media",'Mapa final'!$AN$75="Mayor"),CONCATENATE("R2C",'Mapa final'!$U$75),"")</f>
        <v/>
      </c>
      <c r="AG41" s="39" t="str">
        <f>IF(AND('Mapa final'!$AL$77="Media",'Mapa final'!$AN$77="Mayor"),CONCATENATE("R2C",'Mapa final'!$U$77),"")</f>
        <v/>
      </c>
      <c r="AH41" s="40" t="str">
        <f>IF(AND('Mapa final'!$AL$78="Media",'Mapa final'!$AN$78="Mayor"),CONCATENATE("R2C",'Mapa final'!$U$78),"")</f>
        <v/>
      </c>
      <c r="AI41" s="47" t="str">
        <f>IF(AND('Mapa final'!$AL$72="Media",'Mapa final'!$AN$72="Catastrófico"),CONCATENATE("R2C",'Mapa final'!$U$72),"")</f>
        <v/>
      </c>
      <c r="AJ41" s="48" t="str">
        <f>IF(AND('Mapa final'!$AL$73="Media",'Mapa final'!$AN$73="Catastrófico"),CONCATENATE("R2C",'Mapa final'!$U$73),"")</f>
        <v/>
      </c>
      <c r="AK41" s="48" t="str">
        <f>IF(AND('Mapa final'!$AL$74="Media",'Mapa final'!$AN$74="Catastrófico"),CONCATENATE("R2C",'Mapa final'!$U$74),"")</f>
        <v/>
      </c>
      <c r="AL41" s="48" t="str">
        <f>IF(AND('Mapa final'!$AL$75="Media",'Mapa final'!$AN$75="Catastrófico"),CONCATENATE("R2C",'Mapa final'!$U$75),"")</f>
        <v/>
      </c>
      <c r="AM41" s="48" t="str">
        <f>IF(AND('Mapa final'!$AL$77="Media",'Mapa final'!$AN$77="Catastrófico"),CONCATENATE("R2C",'Mapa final'!$U$77),"")</f>
        <v/>
      </c>
      <c r="AN41" s="49" t="str">
        <f>IF(AND('Mapa final'!$AL$78="Muy Alta",'Mapa final'!$AN$78="Catastrófico"),CONCATENATE("R2C",'Mapa final'!$U$78),"")</f>
        <v/>
      </c>
      <c r="AO41" s="69"/>
      <c r="AP41" s="514"/>
      <c r="AQ41" s="515"/>
      <c r="AR41" s="515"/>
      <c r="AS41" s="515"/>
      <c r="AT41" s="515"/>
      <c r="AU41" s="516"/>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81"/>
      <c r="D42" s="381"/>
      <c r="E42" s="382"/>
      <c r="F42" s="468" t="s">
        <v>113</v>
      </c>
      <c r="G42" s="469"/>
      <c r="H42" s="469"/>
      <c r="I42" s="469"/>
      <c r="J42" s="469"/>
      <c r="K42" s="59" t="str">
        <f>IF(AND('Mapa final'!$AL$15="Baja",'Mapa final'!$AN$15="Leve"),CONCATENATE("R2C",'Mapa final'!$U$15),"")</f>
        <v/>
      </c>
      <c r="L42" s="60"/>
      <c r="M42" s="60" t="str">
        <f>IF(AND('Mapa final'!$AL$18="Baja",'Mapa final'!$AN$18="Leve"),CONCATENATE("R2C",'Mapa final'!$U$18),"")</f>
        <v/>
      </c>
      <c r="N42" s="60" t="str">
        <f>IF(AND('Mapa final'!$AL$18="Baja",'Mapa final'!$AN$18="Leve"),CONCATENATE("R2C",'Mapa final'!$U$18),"")</f>
        <v/>
      </c>
      <c r="O42" s="60" t="str">
        <f>IF(AND('Mapa final'!$AL$20="Baja",'Mapa final'!$AN$20="Leve"),CONCATENATE("R2C",'Mapa final'!$U$20),"")</f>
        <v/>
      </c>
      <c r="P42" s="61" t="str">
        <f>IF(AND('Mapa final'!$AL$21="Baja",'Mapa final'!$AN$21="Leve"),CONCATENATE("R2C",'Mapa final'!$U$21),"")</f>
        <v/>
      </c>
      <c r="Q42" s="50" t="str">
        <f>IF(AND('Mapa final'!$AL$15="Baja",'Mapa final'!$AN$15="Menor"),CONCATENATE("R2C",'Mapa final'!$U$15),"")</f>
        <v/>
      </c>
      <c r="R42" s="51" t="str">
        <f>IF(AND('Mapa final'!$AL$16="Baja",'Mapa final'!$AN$16="Menore"),CONCATENATE("R2C",'Mapa final'!$U$16),"")</f>
        <v/>
      </c>
      <c r="S42" s="51" t="str">
        <f>IF(AND('Mapa final'!$AL$17="Baja",'Mapa final'!$AN$17="Menor"),CONCATENATE("R2C",'Mapa final'!$U$17),"")</f>
        <v/>
      </c>
      <c r="T42" s="51" t="str">
        <f>IF(AND('Mapa final'!$AL$18="Baja",'Mapa final'!$AN$18="Menor"),CONCATENATE("R2C",'Mapa final'!$U$18),"")</f>
        <v/>
      </c>
      <c r="U42" s="51" t="str">
        <f>IF(AND('Mapa final'!$AL$20="Baja",'Mapa final'!$AN$20="Menor"),CONCATENATE("R2C",'Mapa final'!$U$20),"")</f>
        <v/>
      </c>
      <c r="V42" s="52" t="str">
        <f>IF(AND('Mapa final'!$AL$21="Baja",'Mapa final'!$AN$21="Menor"),CONCATENATE("R2C",'Mapa final'!$U$21),"")</f>
        <v/>
      </c>
      <c r="W42" s="50" t="str">
        <f>IF(AND('Mapa final'!$AL$15="Baja",'Mapa final'!$AN$15="Moderado"),CONCATENATE("R2C",'Mapa final'!$U$15),"")</f>
        <v/>
      </c>
      <c r="X42" s="51" t="str">
        <f>IF(AND('Mapa final'!$AL$16="Baja",'Mapa final'!$AN$16="Moderado"),CONCATENATE("R2C",'Mapa final'!$U$16),"")</f>
        <v/>
      </c>
      <c r="Y42" s="51"/>
      <c r="Z42" s="51" t="str">
        <f>IF(AND('Mapa final'!$AL$18="Baja",'Mapa final'!$AN$18="Moderado"),CONCATENATE("R2C",'Mapa final'!$U$18),"")</f>
        <v/>
      </c>
      <c r="AA42" s="51" t="str">
        <f>IF(AND('Mapa final'!$AL$20="Baja",'Mapa final'!$AN$20="Moderado"),CONCATENATE("R2C",'Mapa final'!$U$20),"")</f>
        <v/>
      </c>
      <c r="AB42" s="52" t="str">
        <f>IF(AND('Mapa final'!$AL$21="Baja",'Mapa final'!$AN$21="Moderado"),CONCATENATE("R2C",'Mapa final'!$U$21),"")</f>
        <v/>
      </c>
      <c r="AC42" s="32" t="str">
        <f>IF(AND('Mapa final'!$AL$15="Baja",'Mapa final'!$AN$15="Mayor"),CONCATENATE("R2C",'Mapa final'!$D$15),"")</f>
        <v/>
      </c>
      <c r="AD42" s="33" t="str">
        <f>IF(AND('Mapa final'!$AL$16="Baja",'Mapa final'!$AN$16="Mayor"),CONCATENATE("R2C",'Mapa final'!$U$16),"")</f>
        <v/>
      </c>
      <c r="AE42" s="33" t="str">
        <f>IF(AND('Mapa final'!$AL$17="Baja",'Mapa final'!$AN$17="Mayor"),CONCATENATE("R2C",'Mapa final'!$D$17),"")</f>
        <v/>
      </c>
      <c r="AF42" s="33" t="str">
        <f>IF(AND('Mapa final'!$AL$17="Baja",'Mapa final'!$AN$17="Mayor"),CONCATENATE("R2C",'Mapa final'!$D$17),"")</f>
        <v/>
      </c>
      <c r="AG42" s="33" t="str">
        <f>IF(AND('Mapa final'!$AL$20="Baja",'Mapa final'!$AN$20="Mayor"),CONCATENATE("R2C",'Mapa final'!$U$20),"")</f>
        <v/>
      </c>
      <c r="AH42" s="34" t="str">
        <f>IF(AND('Mapa final'!$AL$21="Baja",'Mapa final'!$AN$21="Mayor"),CONCATENATE("R2C",'Mapa final'!$U$21),"")</f>
        <v/>
      </c>
      <c r="AI42" s="35" t="str">
        <f>IF(AND('Mapa final'!$AL$15="Baja",'Mapa final'!$AN$15="Catastrófico"),CONCATENATE("R2C",'Mapa final'!$U$15),"")</f>
        <v/>
      </c>
      <c r="AJ42" s="36" t="str">
        <f>IF(AND('Mapa final'!$AL$16="Baja",'Mapa final'!$AN$16="Catastrófico"),CONCATENATE("R2C",'Mapa final'!$U$16),"")</f>
        <v/>
      </c>
      <c r="AK42" s="36" t="str">
        <f>IF(AND('Mapa final'!$AL$17="Baja",'Mapa final'!$AN$17="Catastrófico"),CONCATENATE("R2C",'Mapa final'!$U$17),"")</f>
        <v/>
      </c>
      <c r="AL42" s="36" t="str">
        <f>IF(AND('Mapa final'!$AL$18="Baja",'Mapa final'!$AN$18="Catastrófico"),CONCATENATE("R2C",'Mapa final'!$U$18),"")</f>
        <v/>
      </c>
      <c r="AM42" s="36" t="str">
        <f>IF(AND('Mapa final'!$AL$20="Baja",'Mapa final'!$AN$20="Catastrófico"),CONCATENATE("R2C",'Mapa final'!$U$20),"")</f>
        <v/>
      </c>
      <c r="AN42" s="37" t="str">
        <f>IF(AND('Mapa final'!$AL$21="Baja",'Mapa final'!$AN$21="Catastrófico"),CONCATENATE("R2C",'Mapa final'!$U$21),"")</f>
        <v/>
      </c>
      <c r="AO42" s="69"/>
      <c r="AP42" s="499" t="s">
        <v>81</v>
      </c>
      <c r="AQ42" s="500"/>
      <c r="AR42" s="500"/>
      <c r="AS42" s="500"/>
      <c r="AT42" s="500"/>
      <c r="AU42" s="501"/>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81"/>
      <c r="D43" s="381"/>
      <c r="E43" s="382"/>
      <c r="F43" s="486"/>
      <c r="G43" s="472"/>
      <c r="H43" s="472"/>
      <c r="I43" s="472"/>
      <c r="J43" s="472"/>
      <c r="K43" s="62" t="str">
        <f>IF(AND('Mapa final'!$AL$24="Baja",'Mapa final'!$AN$24="Leve"),CONCATENATE("R2C",'Mapa final'!$U$24),"")</f>
        <v/>
      </c>
      <c r="L43" s="63" t="str">
        <f>IF(AND('Mapa final'!$AL$25="Baja",'Mapa final'!$AN$25="Leve"),CONCATENATE("R2C",'Mapa final'!$U$25),"")</f>
        <v/>
      </c>
      <c r="M43" s="63" t="str">
        <f>IF(AND('Mapa final'!$AL$26="Baja",'Mapa final'!$AN$26="Leve"),CONCATENATE("R2C",'Mapa final'!$U$26),"")</f>
        <v/>
      </c>
      <c r="N43" s="63" t="str">
        <f>IF(AND('Mapa final'!$AL$27="Baja",'Mapa final'!$AN$27="Leve"),CONCATENATE("R2C",'Mapa final'!$U$27),"")</f>
        <v/>
      </c>
      <c r="O43" s="63" t="str">
        <f>IF(AND('Mapa final'!$AL$28="Baja",'Mapa final'!$AN$28="Leve"),CONCATENATE("R2C",'Mapa final'!$U$28),"")</f>
        <v/>
      </c>
      <c r="P43" s="64" t="str">
        <f>IF(AND('Mapa final'!$AL$29="Baja",'Mapa final'!$AN$29="Leve"),CONCATENATE("R2C",'Mapa final'!$U$29),"")</f>
        <v/>
      </c>
      <c r="Q43" s="53" t="str">
        <f>IF(AND('Mapa final'!$AL$24="Baja",'Mapa final'!$AN$24="Menor"),CONCATENATE("R2C",'Mapa final'!$U$24),"")</f>
        <v/>
      </c>
      <c r="R43" s="54" t="str">
        <f>IF(AND('Mapa final'!$AL$25="Baja",'Mapa final'!$AN$25="Menor"),CONCATENATE("R2C",'Mapa final'!$U$25),"")</f>
        <v/>
      </c>
      <c r="S43" s="54" t="str">
        <f>IF(AND('Mapa final'!$AL$26="Baja",'Mapa final'!$AN$26="Menor"),CONCATENATE("R2C",'Mapa final'!$U$26),"")</f>
        <v/>
      </c>
      <c r="T43" s="54" t="str">
        <f>IF(AND('Mapa final'!$AL$27="Baja",'Mapa final'!$AN$27="Menor"),CONCATENATE("R2C",'Mapa final'!$U$27),"")</f>
        <v/>
      </c>
      <c r="U43" s="54" t="str">
        <f>IF(AND('Mapa final'!$AL$28="Baja",'Mapa final'!$AN$28="Menor"),CONCATENATE("R2C",'Mapa final'!$U$28),"")</f>
        <v/>
      </c>
      <c r="V43" s="55" t="str">
        <f>IF(AND('Mapa final'!$AL$29="Baja",'Mapa final'!$AN$29="Menor"),CONCATENATE("R2C",'Mapa final'!$U$29),"")</f>
        <v/>
      </c>
      <c r="W43" s="53" t="str">
        <f>IF(AND('Mapa final'!$AL$24="Baja",'Mapa final'!$AN$24="Moderado"),CONCATENATE("R2C",'Mapa final'!$U$24),"")</f>
        <v/>
      </c>
      <c r="X43" s="54" t="str">
        <f>IF(AND('Mapa final'!$AL$25="Baja",'Mapa final'!$AN$25="Moderado"),CONCATENATE("R2C",'Mapa final'!$U$25),"")</f>
        <v/>
      </c>
      <c r="Y43" s="54" t="str">
        <f>IF(AND('Mapa final'!$AL$26="Baja",'Mapa final'!$AN$26="Moderado"),CONCATENATE("R2C",'Mapa final'!$U$26),"")</f>
        <v/>
      </c>
      <c r="Z43" s="54" t="str">
        <f>IF(AND('Mapa final'!$AL$27="Baja",'Mapa final'!$AN$27="Moderado"),CONCATENATE("R2C",'Mapa final'!$U$27),"")</f>
        <v/>
      </c>
      <c r="AA43" s="54" t="str">
        <f>IF(AND('Mapa final'!$AL$28="Baja",'Mapa final'!$AN$28="Moderado"),CONCATENATE("R2C",'Mapa final'!$U$28),"")</f>
        <v/>
      </c>
      <c r="AB43" s="55" t="str">
        <f>IF(AND('Mapa final'!$AL$29="Baja",'Mapa final'!$AN$29="Moderado"),CONCATENATE("R2C",'Mapa final'!$U$29),"")</f>
        <v/>
      </c>
      <c r="AC43" s="38" t="str">
        <f>IF(AND('Mapa final'!$AL$24="Baja",'Mapa final'!$AN$24="Mayor"),CONCATENATE("R2C",'Mapa final'!$U$24),"")</f>
        <v/>
      </c>
      <c r="AD43" s="39" t="str">
        <f>IF(AND('Mapa final'!$AL$25="Baja",'Mapa final'!$AN$25="Mayor"),CONCATENATE("R2C",'Mapa final'!$U$25),"")</f>
        <v/>
      </c>
      <c r="AE43" s="39" t="str">
        <f>IF(AND('Mapa final'!$AL$26="Baja",'Mapa final'!$AN$26="Mayor"),CONCATENATE("R2C",'Mapa final'!$U$26),"")</f>
        <v/>
      </c>
      <c r="AF43" s="39" t="str">
        <f>IF(AND('Mapa final'!$AL$27="Baja",'Mapa final'!$AN$27="Mayor"),CONCATENATE("R2C",'Mapa final'!$U$27),"")</f>
        <v/>
      </c>
      <c r="AG43" s="39" t="str">
        <f>IF(AND('Mapa final'!$AL$28="Baja",'Mapa final'!$AN$28="Mayor"),CONCATENATE("R2C",'Mapa final'!$U$28),"")</f>
        <v/>
      </c>
      <c r="AH43" s="40" t="str">
        <f>IF(AND('Mapa final'!$AL$29="Baja",'Mapa final'!$AN$29="Mayor"),CONCATENATE("R2C",'Mapa final'!$U$29),"")</f>
        <v/>
      </c>
      <c r="AI43" s="41" t="str">
        <f>IF(AND('Mapa final'!$AL$24="Baja",'Mapa final'!$AN$24="Catastrófico"),CONCATENATE("R2C",'Mapa final'!$U$24),"")</f>
        <v/>
      </c>
      <c r="AJ43" s="42" t="str">
        <f>IF(AND('Mapa final'!$AL$25="Baja",'Mapa final'!$AN$25="Catastrófico"),CONCATENATE("R2C",'Mapa final'!$U$25),"")</f>
        <v/>
      </c>
      <c r="AK43" s="42" t="str">
        <f>IF(AND('Mapa final'!$AL$26="Baja",'Mapa final'!$AN$26="Catastrófico"),CONCATENATE("R2C",'Mapa final'!$U$26),"")</f>
        <v/>
      </c>
      <c r="AL43" s="42" t="str">
        <f>IF(AND('Mapa final'!$AL$27="Baja",'Mapa final'!$AN$27="Catastrófico"),CONCATENATE("R2C",'Mapa final'!$U$27),"")</f>
        <v/>
      </c>
      <c r="AM43" s="42" t="str">
        <f>IF(AND('Mapa final'!$AL$28="Baja",'Mapa final'!$AN$28="Catastrófico"),CONCATENATE("R2C",'Mapa final'!$U$28),"")</f>
        <v/>
      </c>
      <c r="AN43" s="43" t="str">
        <f>IF(AND('Mapa final'!$AL$29="Baja",'Mapa final'!$AN$29="Catastrófico"),CONCATENATE("R2C",'Mapa final'!$U$29),"")</f>
        <v/>
      </c>
      <c r="AO43" s="69"/>
      <c r="AP43" s="502"/>
      <c r="AQ43" s="503"/>
      <c r="AR43" s="503"/>
      <c r="AS43" s="503"/>
      <c r="AT43" s="503"/>
      <c r="AU43" s="504"/>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81"/>
      <c r="D44" s="381"/>
      <c r="E44" s="382"/>
      <c r="F44" s="471"/>
      <c r="G44" s="472"/>
      <c r="H44" s="472"/>
      <c r="I44" s="472"/>
      <c r="J44" s="472"/>
      <c r="K44" s="62" t="str">
        <f>IF(AND('Mapa final'!$AL$30="Baja",'Mapa final'!$AN$30="Leve"),CONCATENATE("R2C",'Mapa final'!$U$30),"")</f>
        <v/>
      </c>
      <c r="L44" s="63" t="str">
        <f>IF(AND('Mapa final'!$AL$31="Baja",'Mapa final'!$AN$31="Leve"),CONCATENATE("R2C",'Mapa final'!$U$31),"")</f>
        <v/>
      </c>
      <c r="M44" s="63" t="str">
        <f>IF(AND('Mapa final'!$AL$32="Baja",'Mapa final'!$AN$32="Leve"),CONCATENATE("R2C",'Mapa final'!$U$32),"")</f>
        <v/>
      </c>
      <c r="N44" s="63" t="str">
        <f>IF(AND('Mapa final'!$AL$33="Baja",'Mapa final'!$AN$33="Leve"),CONCATENATE("R2C",'Mapa final'!$U$33),"")</f>
        <v/>
      </c>
      <c r="O44" s="63" t="str">
        <f>IF(AND('Mapa final'!$AL$34="Baja",'Mapa final'!$AN$34="Leve"),CONCATENATE("R2C",'Mapa final'!$U$34),"")</f>
        <v/>
      </c>
      <c r="P44" s="64" t="str">
        <f>IF(AND('Mapa final'!$AL$35="Baja",'Mapa final'!$AN$35="Leve"),CONCATENATE("R2C",'Mapa final'!$U$35),"")</f>
        <v/>
      </c>
      <c r="Q44" s="53" t="str">
        <f>IF(AND('Mapa final'!$AL$30="Baja",'Mapa final'!$AN$30="Menor"),CONCATENATE("R2C",'Mapa final'!$U$30),"")</f>
        <v/>
      </c>
      <c r="R44" s="54" t="str">
        <f>IF(AND('Mapa final'!$AL$31="Baja",'Mapa final'!$AN$31="Menor"),CONCATENATE("R2C",'Mapa final'!$U$31),"")</f>
        <v/>
      </c>
      <c r="S44" s="54" t="str">
        <f>IF(AND('Mapa final'!$AL$32="Baja",'Mapa final'!$AN$32="Menor"),CONCATENATE("R2C",'Mapa final'!$U$32),"")</f>
        <v/>
      </c>
      <c r="T44" s="54" t="str">
        <f>IF(AND('Mapa final'!$AL$33="Baja",'Mapa final'!$AN$33="Menor"),CONCATENATE("R2C",'Mapa final'!$U$33),"")</f>
        <v/>
      </c>
      <c r="U44" s="54" t="str">
        <f>IF(AND('Mapa final'!$AL$34="Baja",'Mapa final'!$AN$34="Menor"),CONCATENATE("R2C",'Mapa final'!$U$34),"")</f>
        <v/>
      </c>
      <c r="V44" s="55" t="str">
        <f>IF(AND('Mapa final'!$AL$35="Baja",'Mapa final'!$AN$35="Menor"),CONCATENATE("R2C",'Mapa final'!$U$35),"")</f>
        <v/>
      </c>
      <c r="W44" s="53" t="str">
        <f>IF(AND('Mapa final'!$AL$30="Baja",'Mapa final'!$AN$30="Moderado"),CONCATENATE("R2C",'Mapa final'!$U$30),"")</f>
        <v/>
      </c>
      <c r="X44" s="54" t="str">
        <f>IF(AND('Mapa final'!$AL$31="Baja",'Mapa final'!$AN$31="Moderado"),CONCATENATE("R2C",'Mapa final'!$U$31),"")</f>
        <v/>
      </c>
      <c r="Y44" s="54" t="str">
        <f>IF(AND('Mapa final'!$AL$32="Baja",'Mapa final'!$AN$32="Moderado"),CONCATENATE("R2C",'Mapa final'!$U$32),"")</f>
        <v/>
      </c>
      <c r="Z44" s="54" t="str">
        <f>IF(AND('Mapa final'!$AL$33="Baja",'Mapa final'!$AN$33="Moderado"),CONCATENATE("R2C",'Mapa final'!$U$33),"")</f>
        <v/>
      </c>
      <c r="AA44" s="54" t="str">
        <f>IF(AND('Mapa final'!$AL$34="Baja",'Mapa final'!$AN$34="Moderado"),CONCATENATE("R2C",'Mapa final'!$U$34),"")</f>
        <v/>
      </c>
      <c r="AB44" s="55" t="str">
        <f>IF(AND('Mapa final'!$AL$35="Baja",'Mapa final'!$AN$35="Moderado"),CONCATENATE("R2C",'Mapa final'!$U$35),"")</f>
        <v/>
      </c>
      <c r="AC44" s="38" t="str">
        <f>IF(AND('Mapa final'!$AL$30="Baja",'Mapa final'!$AN$30="Mayor"),CONCATENATE("R2C",'Mapa final'!$U$30),"")</f>
        <v/>
      </c>
      <c r="AD44" s="39" t="str">
        <f>IF(AND('Mapa final'!$AL$31="Baja",'Mapa final'!$AN$31="Mayor"),CONCATENATE("R2C",'Mapa final'!$U$31),"")</f>
        <v/>
      </c>
      <c r="AE44" s="39" t="str">
        <f>IF(AND('Mapa final'!$AL$32="Baja",'Mapa final'!$AN$32="Mayor"),CONCATENATE("R2C",'Mapa final'!$U$32),"")</f>
        <v/>
      </c>
      <c r="AF44" s="39" t="str">
        <f>IF(AND('Mapa final'!$AL$33="Baja",'Mapa final'!$AN$33="Mayor"),CONCATENATE("R2C",'Mapa final'!$U$33),"")</f>
        <v/>
      </c>
      <c r="AG44" s="39" t="str">
        <f>IF(AND('Mapa final'!$AL$34="Baja",'Mapa final'!$AN$34="Mayor"),CONCATENATE("R2C",'Mapa final'!$U$34),"")</f>
        <v/>
      </c>
      <c r="AH44" s="40" t="str">
        <f>IF(AND('Mapa final'!$AL$35="Baja",'Mapa final'!$AN$35="Mayor"),CONCATENATE("R2C",'Mapa final'!$U$35),"")</f>
        <v/>
      </c>
      <c r="AI44" s="41" t="str">
        <f>IF(AND('Mapa final'!$AL$30="Baja",'Mapa final'!$AN$30="Catastrófico"),CONCATENATE("R2C",'Mapa final'!$U$30),"")</f>
        <v/>
      </c>
      <c r="AJ44" s="42" t="str">
        <f>IF(AND('Mapa final'!$AL$31="Baja",'Mapa final'!$AN$31="Catastrófico"),CONCATENATE("R2C",'Mapa final'!$U$31),"")</f>
        <v/>
      </c>
      <c r="AK44" s="42" t="str">
        <f>IF(AND('Mapa final'!$AL$32="Baja",'Mapa final'!$AN$32="Catastrófico"),CONCATENATE("R2C",'Mapa final'!$U$32),"")</f>
        <v/>
      </c>
      <c r="AL44" s="42" t="str">
        <f>IF(AND('Mapa final'!$AL$33="Baja",'Mapa final'!$AN$33="Catastrófico"),CONCATENATE("R2C",'Mapa final'!$U$33),"")</f>
        <v/>
      </c>
      <c r="AM44" s="42" t="str">
        <f>IF(AND('Mapa final'!$AL$34="Baja",'Mapa final'!$AN$34="Catastrófico"),CONCATENATE("R2C",'Mapa final'!$U$34),"")</f>
        <v/>
      </c>
      <c r="AN44" s="43" t="str">
        <f>IF(AND('Mapa final'!$AL$35="Baja",'Mapa final'!$AN$35="Catastrófico"),CONCATENATE("R2C",'Mapa final'!$U$35),"")</f>
        <v/>
      </c>
      <c r="AO44" s="69"/>
      <c r="AP44" s="502"/>
      <c r="AQ44" s="503"/>
      <c r="AR44" s="503"/>
      <c r="AS44" s="503"/>
      <c r="AT44" s="503"/>
      <c r="AU44" s="504"/>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81"/>
      <c r="D45" s="381"/>
      <c r="E45" s="382"/>
      <c r="F45" s="471"/>
      <c r="G45" s="472"/>
      <c r="H45" s="472"/>
      <c r="I45" s="472"/>
      <c r="J45" s="472"/>
      <c r="K45" s="62" t="str">
        <f>IF(AND('Mapa final'!$AL$36="Baja",'Mapa final'!$AN$36="Leve"),CONCATENATE("R2C",'Mapa final'!$U$36),"")</f>
        <v/>
      </c>
      <c r="L45" s="63" t="str">
        <f>IF(AND('Mapa final'!$AL$37="Baja",'Mapa final'!$AN$37="Leve"),CONCATENATE("R2C",'Mapa final'!$U$37),"")</f>
        <v/>
      </c>
      <c r="M45" s="63" t="str">
        <f>IF(AND('Mapa final'!$AL$38="Baja",'Mapa final'!$AN$38="Leve"),CONCATENATE("R2C",'Mapa final'!$U$38),"")</f>
        <v/>
      </c>
      <c r="N45" s="63" t="str">
        <f>IF(AND('Mapa final'!$AL$39="Baja",'Mapa final'!$AN$39="Leve"),CONCATENATE("R2C",'Mapa final'!$U$39),"")</f>
        <v/>
      </c>
      <c r="O45" s="63" t="str">
        <f>IF(AND('Mapa final'!$AL$40="Baja",'Mapa final'!$AN$40="Leve"),CONCATENATE("R2C",'Mapa final'!$U$40),"")</f>
        <v/>
      </c>
      <c r="P45" s="64" t="str">
        <f>IF(AND('Mapa final'!$AL$41="Baja",'Mapa final'!$AN$41="Leve"),CONCATENATE("R2C",'Mapa final'!$U$41),"")</f>
        <v/>
      </c>
      <c r="Q45" s="53" t="str">
        <f>IF(AND('Mapa final'!$AL$36="Baja",'Mapa final'!$AN$36="Menor"),CONCATENATE("R2C",'Mapa final'!$U$36),"")</f>
        <v/>
      </c>
      <c r="R45" s="54" t="str">
        <f>IF(AND('Mapa final'!$AL$37="Baja",'Mapa final'!$AN$37="Menor"),CONCATENATE("R2C",'Mapa final'!$U$37),"")</f>
        <v/>
      </c>
      <c r="S45" s="54" t="str">
        <f>IF(AND('Mapa final'!$AL$38="Baja",'Mapa final'!$AN$38="Menor"),CONCATENATE("R2C",'Mapa final'!$U$38),"")</f>
        <v/>
      </c>
      <c r="T45" s="54" t="str">
        <f>IF(AND('Mapa final'!$AL$39="Baja",'Mapa final'!$AN$39="Menor"),CONCATENATE("R2C",'Mapa final'!$U$39),"")</f>
        <v/>
      </c>
      <c r="U45" s="54" t="str">
        <f>IF(AND('Mapa final'!$AL$40="Baja",'Mapa final'!$AN$40="LMenor"),CONCATENATE("R2C",'Mapa final'!$U$40),"")</f>
        <v/>
      </c>
      <c r="V45" s="55" t="str">
        <f>IF(AND('Mapa final'!$AL$41="Baja",'Mapa final'!$AN$41="Menor"),CONCATENATE("R2C",'Mapa final'!$U$41),"")</f>
        <v/>
      </c>
      <c r="W45" s="53" t="str">
        <f>IF(AND('Mapa final'!$AL$36="Baja",'Mapa final'!$AN$36="Moderado"),CONCATENATE("R2C",'Mapa final'!$U$36),"")</f>
        <v/>
      </c>
      <c r="X45" s="54" t="str">
        <f>IF(AND('Mapa final'!$AL$37="Baja",'Mapa final'!$AN$37="Moderado"),CONCATENATE("R2C",'Mapa final'!$U$37),"")</f>
        <v/>
      </c>
      <c r="Y45" s="54" t="str">
        <f>IF(AND('Mapa final'!$AL$38="Baja",'Mapa final'!$AN$38="Moderado"),CONCATENATE("R2C",'Mapa final'!$U$38),"")</f>
        <v/>
      </c>
      <c r="Z45" s="54" t="str">
        <f>IF(AND('Mapa final'!$AL$39="Baja",'Mapa final'!$AN$39="Moderado"),CONCATENATE("R2C",'Mapa final'!$U$39),"")</f>
        <v/>
      </c>
      <c r="AA45" s="54" t="str">
        <f>IF(AND('Mapa final'!$AL$40="Baja",'Mapa final'!$AN$40="Moderado"),CONCATENATE("R2C",'Mapa final'!$U$40),"")</f>
        <v/>
      </c>
      <c r="AB45" s="55" t="str">
        <f>IF(AND('Mapa final'!$AL$41="Baja",'Mapa final'!$AN$41="Moderado"),CONCATENATE("R2C",'Mapa final'!$U$41),"")</f>
        <v/>
      </c>
      <c r="AC45" s="38" t="str">
        <f>IF(AND('Mapa final'!$AL$36="Baja",'Mapa final'!$AN$36="Mayor"),CONCATENATE("R2C",'Mapa final'!$U$36),"")</f>
        <v/>
      </c>
      <c r="AD45" s="39" t="str">
        <f>IF(AND('Mapa final'!$AL$37="Baja",'Mapa final'!$AN$37="Mayor"),CONCATENATE("R2C",'Mapa final'!$U$37),"")</f>
        <v/>
      </c>
      <c r="AE45" s="39" t="str">
        <f>IF(AND('Mapa final'!$AL$38="Baja",'Mapa final'!$AN$38="Mayor"),CONCATENATE("R2C",'Mapa final'!$U$38),"")</f>
        <v/>
      </c>
      <c r="AF45" s="39" t="str">
        <f>IF(AND('Mapa final'!$AL$39="Baja",'Mapa final'!$AN$39="Mayor"),CONCATENATE("R2C",'Mapa final'!$U$39),"")</f>
        <v/>
      </c>
      <c r="AG45" s="39" t="str">
        <f>IF(AND('Mapa final'!$AL$40="Baja",'Mapa final'!$AN$40="Mayor"),CONCATENATE("R2C",'Mapa final'!$U$40),"")</f>
        <v/>
      </c>
      <c r="AH45" s="40" t="str">
        <f>IF(AND('Mapa final'!$AL$41="Baja",'Mapa final'!$AN$41="Mayor"),CONCATENATE("R2C",'Mapa final'!$U$41),"")</f>
        <v/>
      </c>
      <c r="AI45" s="41" t="str">
        <f>IF(AND('Mapa final'!$AL$36="Baja",'Mapa final'!$AN$36="Catastrófico"),CONCATENATE("R2C",'Mapa final'!$U$36),"")</f>
        <v/>
      </c>
      <c r="AJ45" s="42" t="str">
        <f>IF(AND('Mapa final'!$AL$37="Baja",'Mapa final'!$AN$37="Catastrófico"),CONCATENATE("R2C",'Mapa final'!$U$37),"")</f>
        <v/>
      </c>
      <c r="AK45" s="42" t="str">
        <f>IF(AND('Mapa final'!$AL$38="Baja",'Mapa final'!$AN$38="Catastrófico"),CONCATENATE("R2C",'Mapa final'!$U$38),"")</f>
        <v/>
      </c>
      <c r="AL45" s="42" t="str">
        <f>IF(AND('Mapa final'!$AL$39="Baja",'Mapa final'!$AN$39="Catastrófico"),CONCATENATE("R2C",'Mapa final'!$U$39),"")</f>
        <v/>
      </c>
      <c r="AM45" s="42" t="str">
        <f>IF(AND('Mapa final'!$AL$40="Baja",'Mapa final'!$AN$40="LCatastrófico"),CONCATENATE("R2C",'Mapa final'!$U$40),"")</f>
        <v/>
      </c>
      <c r="AN45" s="43" t="str">
        <f>IF(AND('Mapa final'!$AL$41="Baja",'Mapa final'!$AN$41="Catastrófico"),CONCATENATE("R2C",'Mapa final'!$U$41),"")</f>
        <v/>
      </c>
      <c r="AO45" s="69"/>
      <c r="AP45" s="502"/>
      <c r="AQ45" s="503"/>
      <c r="AR45" s="503"/>
      <c r="AS45" s="503"/>
      <c r="AT45" s="503"/>
      <c r="AU45" s="504"/>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81"/>
      <c r="D46" s="381"/>
      <c r="E46" s="382"/>
      <c r="F46" s="471"/>
      <c r="G46" s="472"/>
      <c r="H46" s="472"/>
      <c r="I46" s="472"/>
      <c r="J46" s="472"/>
      <c r="K46" s="62" t="str">
        <f>IF(AND('Mapa final'!$AL$42="Baja",'Mapa final'!$AN$42="Leve"),CONCATENATE("R2C",'Mapa final'!$U$42),"")</f>
        <v/>
      </c>
      <c r="L46" s="63" t="str">
        <f>IF(AND('Mapa final'!$AL$43="Baja",'Mapa final'!$AN$43="Leve"),CONCATENATE("R2C",'Mapa final'!$U$43),"")</f>
        <v/>
      </c>
      <c r="M46" s="63" t="str">
        <f>IF(AND('Mapa final'!$AL$44="Baja",'Mapa final'!$AN$44="Leve"),CONCATENATE("R2C",'Mapa final'!$U$44),"")</f>
        <v/>
      </c>
      <c r="N46" s="63" t="str">
        <f>IF(AND('Mapa final'!$AL$45="Baja",'Mapa final'!$AN$45="Leve"),CONCATENATE("R2C",'Mapa final'!$U$45),"")</f>
        <v/>
      </c>
      <c r="O46" s="63" t="str">
        <f>IF(AND('Mapa final'!$AL$46="Baja",'Mapa final'!$AN$46="Leve"),CONCATENATE("R2C",'Mapa final'!$U$46),"")</f>
        <v/>
      </c>
      <c r="P46" s="64" t="str">
        <f>IF(AND('Mapa final'!$AL$47="Baja",'Mapa final'!$AN$47="Leve"),CONCATENATE("R2C",'Mapa final'!$U$47),"")</f>
        <v/>
      </c>
      <c r="Q46" s="53" t="str">
        <f>IF(AND('Mapa final'!$AL$42="Baja",'Mapa final'!$AN$42="Menor"),CONCATENATE("R2C",'Mapa final'!$U$42),"")</f>
        <v/>
      </c>
      <c r="R46" s="54" t="str">
        <f>IF(AND('Mapa final'!$AL$43="Baja",'Mapa final'!$AN$43="Menor"),CONCATENATE("R2C",'Mapa final'!$U$43),"")</f>
        <v/>
      </c>
      <c r="S46" s="54" t="str">
        <f>IF(AND('Mapa final'!$AL$44="Baja",'Mapa final'!$AN$44="Menor"),CONCATENATE("R2C",'Mapa final'!$U$44),"")</f>
        <v/>
      </c>
      <c r="T46" s="54" t="str">
        <f>IF(AND('Mapa final'!$AL$45="Baja",'Mapa final'!$AN$45="Menor"),CONCATENATE("R2C",'Mapa final'!$U$45),"")</f>
        <v/>
      </c>
      <c r="U46" s="54" t="str">
        <f>IF(AND('Mapa final'!$AL$46="Baja",'Mapa final'!$AN$46="Menor"),CONCATENATE("R2C",'Mapa final'!$U$46),"")</f>
        <v/>
      </c>
      <c r="V46" s="55" t="str">
        <f>IF(AND('Mapa final'!$AL$47="Baja",'Mapa final'!$AN$47="Menor"),CONCATENATE("R2C",'Mapa final'!$U$47),"")</f>
        <v/>
      </c>
      <c r="W46" s="53" t="str">
        <f>IF(AND('Mapa final'!$AL$42="Baja",'Mapa final'!$AN$42="Moderado"),CONCATENATE("R2C",'Mapa final'!$U$42),"")</f>
        <v/>
      </c>
      <c r="X46" s="54" t="str">
        <f>IF(AND('Mapa final'!$AL$43="Baja",'Mapa final'!$AN$43="Moderado"),CONCATENATE("R2C",'Mapa final'!$U$43),"")</f>
        <v/>
      </c>
      <c r="Y46" s="54" t="str">
        <f>IF(AND('Mapa final'!$AL$44="Baja",'Mapa final'!$AN$44="Moderado"),CONCATENATE("R2C",'Mapa final'!$U$44),"")</f>
        <v/>
      </c>
      <c r="Z46" s="54" t="str">
        <f>IF(AND('Mapa final'!$AL$45="Baja",'Mapa final'!$AN$45="Moderado"),CONCATENATE("R2C",'Mapa final'!$U$45),"")</f>
        <v/>
      </c>
      <c r="AA46" s="54" t="str">
        <f>IF(AND('Mapa final'!$AL$46="Baja",'Mapa final'!$AN$46="Moderado"),CONCATENATE("R2C",'Mapa final'!$U$46),"")</f>
        <v/>
      </c>
      <c r="AB46" s="55" t="str">
        <f>IF(AND('Mapa final'!$AL$47="Baja",'Mapa final'!$AN$47="Moderado"),CONCATENATE("R2C",'Mapa final'!$U$47),"")</f>
        <v/>
      </c>
      <c r="AC46" s="38" t="str">
        <f>IF(AND('Mapa final'!$AL$42="Baja",'Mapa final'!$AN$42="Mayor"),CONCATENATE("R2C",'Mapa final'!$U$42),"")</f>
        <v/>
      </c>
      <c r="AD46" s="39" t="str">
        <f>IF(AND('Mapa final'!$AL$43="Baja",'Mapa final'!$AN$43="Mayor"),CONCATENATE("R2C",'Mapa final'!$U$43),"")</f>
        <v/>
      </c>
      <c r="AE46" s="39" t="str">
        <f>IF(AND('Mapa final'!$AL$44="Baja",'Mapa final'!$AN$44="Mayor"),CONCATENATE("R2C",'Mapa final'!$U$44),"")</f>
        <v/>
      </c>
      <c r="AF46" s="39" t="str">
        <f>IF(AND('Mapa final'!$AL$45="Baja",'Mapa final'!$AN$45="Mayor"),CONCATENATE("R2C",'Mapa final'!$U$45),"")</f>
        <v/>
      </c>
      <c r="AG46" s="39" t="str">
        <f>IF(AND('Mapa final'!$AL$46="Baja",'Mapa final'!$AN$46="Mayor"),CONCATENATE("R2C",'Mapa final'!$U$46),"")</f>
        <v/>
      </c>
      <c r="AH46" s="40" t="str">
        <f>IF(AND('Mapa final'!$AL$47="Baja",'Mapa final'!$AN$47="Mayor"),CONCATENATE("R2C",'Mapa final'!$U$47),"")</f>
        <v/>
      </c>
      <c r="AI46" s="41" t="str">
        <f>IF(AND('Mapa final'!$AL$42="Baja",'Mapa final'!$AN$42="Catastrófico"),CONCATENATE("R2C",'Mapa final'!$U$42),"")</f>
        <v/>
      </c>
      <c r="AJ46" s="42" t="str">
        <f>IF(AND('Mapa final'!$AL$43="Baja",'Mapa final'!$AN$43="Catastrófico"),CONCATENATE("R2C",'Mapa final'!$U$43),"")</f>
        <v/>
      </c>
      <c r="AK46" s="42" t="str">
        <f>IF(AND('Mapa final'!$AL$44="Baja",'Mapa final'!$AN$44="Catastrófico"),CONCATENATE("R2C",'Mapa final'!$U$44),"")</f>
        <v/>
      </c>
      <c r="AL46" s="42" t="str">
        <f>IF(AND('Mapa final'!$AL$45="Baja",'Mapa final'!$AN$45="Catastrófico"),CONCATENATE("R2C",'Mapa final'!$U$45),"")</f>
        <v/>
      </c>
      <c r="AM46" s="42" t="str">
        <f>IF(AND('Mapa final'!$AL$46="Baja",'Mapa final'!$AN$46="Catastrófico"),CONCATENATE("R2C",'Mapa final'!$U$46),"")</f>
        <v/>
      </c>
      <c r="AN46" s="43" t="str">
        <f>IF(AND('Mapa final'!$AL$47="Baja",'Mapa final'!$AN$47="Catastrófico"),CONCATENATE("R2C",'Mapa final'!$U$47),"")</f>
        <v/>
      </c>
      <c r="AO46" s="69"/>
      <c r="AP46" s="502"/>
      <c r="AQ46" s="503"/>
      <c r="AR46" s="503"/>
      <c r="AS46" s="503"/>
      <c r="AT46" s="503"/>
      <c r="AU46" s="504"/>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81"/>
      <c r="D47" s="381"/>
      <c r="E47" s="382"/>
      <c r="F47" s="471"/>
      <c r="G47" s="472"/>
      <c r="H47" s="472"/>
      <c r="I47" s="472"/>
      <c r="J47" s="472"/>
      <c r="K47" s="62" t="str">
        <f>IF(AND('Mapa final'!$AL$48="Baja",'Mapa final'!$AN$48="Leve"),CONCATENATE("R2C",'Mapa final'!$U$48),"")</f>
        <v/>
      </c>
      <c r="L47" s="63" t="str">
        <f>IF(AND('Mapa final'!$AL$49="Baja",'Mapa final'!$AN$49="Leve"),CONCATENATE("R2C",'Mapa final'!$U$49),"")</f>
        <v/>
      </c>
      <c r="M47" s="63" t="str">
        <f>IF(AND('Mapa final'!$AL$50="Baja",'Mapa final'!$AN$50="Leve"),CONCATENATE("R2C",'Mapa final'!$U$50),"")</f>
        <v/>
      </c>
      <c r="N47" s="63" t="str">
        <f>IF(AND('Mapa final'!$AL$51="Baja",'Mapa final'!$AN$51="Leve"),CONCATENATE("R2C",'Mapa final'!$U$51),"")</f>
        <v/>
      </c>
      <c r="O47" s="63" t="str">
        <f>IF(AND('Mapa final'!$AL$52="Baja",'Mapa final'!$AN$52="Leve"),CONCATENATE("R2C",'Mapa final'!$U$52),"")</f>
        <v/>
      </c>
      <c r="P47" s="64" t="str">
        <f>IF(AND('Mapa final'!$AL$63="Baja",'Mapa final'!$AN$53="Leve"),CONCATENATE("R2C",'Mapa final'!$U$53),"")</f>
        <v/>
      </c>
      <c r="Q47" s="53" t="str">
        <f>IF(AND('Mapa final'!$AL$48="Baja",'Mapa final'!$AN$48="Menor"),CONCATENATE("R2C",'Mapa final'!$U$48),"")</f>
        <v/>
      </c>
      <c r="R47" s="54" t="str">
        <f>IF(AND('Mapa final'!$AL$49="Baja",'Mapa final'!$AN$49="Menor"),CONCATENATE("R2C",'Mapa final'!$U$49),"")</f>
        <v/>
      </c>
      <c r="S47" s="54" t="str">
        <f>IF(AND('Mapa final'!$AL$50="Baja",'Mapa final'!$AN$50="Menor"),CONCATENATE("R2C",'Mapa final'!$U$50),"")</f>
        <v/>
      </c>
      <c r="T47" s="54" t="str">
        <f>IF(AND('Mapa final'!$AL$51="Baja",'Mapa final'!$AN$51="Menor"),CONCATENATE("R2C",'Mapa final'!$U$51),"")</f>
        <v/>
      </c>
      <c r="U47" s="54" t="str">
        <f>IF(AND('Mapa final'!$AL$52="Baja",'Mapa final'!$AN$52="Menor"),CONCATENATE("R2C",'Mapa final'!$U$52),"")</f>
        <v/>
      </c>
      <c r="V47" s="55" t="str">
        <f>IF(AND('Mapa final'!$AL$63="Baja",'Mapa final'!$AN$53="Menor"),CONCATENATE("R2C",'Mapa final'!$U$53),"")</f>
        <v/>
      </c>
      <c r="W47" s="53" t="str">
        <f>IF(AND('Mapa final'!$AL$48="Baja",'Mapa final'!$AN$48="Moderado"),CONCATENATE("R2C",'Mapa final'!$U$48),"")</f>
        <v/>
      </c>
      <c r="X47" s="54" t="str">
        <f>IF(AND('Mapa final'!$AL$49="Baja",'Mapa final'!$AN$49="Moderado"),CONCATENATE("R2C",'Mapa final'!$U$49),"")</f>
        <v/>
      </c>
      <c r="Y47" s="54" t="str">
        <f>IF(AND('Mapa final'!$AL$50="Baja",'Mapa final'!$AN$50="Moderado"),CONCATENATE("R2C",'Mapa final'!$U$50),"")</f>
        <v/>
      </c>
      <c r="Z47" s="54" t="str">
        <f>IF(AND('Mapa final'!$AL$51="Baja",'Mapa final'!$AN$51="Moderado"),CONCATENATE("R2C",'Mapa final'!$U$51),"")</f>
        <v/>
      </c>
      <c r="AA47" s="54" t="str">
        <f>IF(AND('Mapa final'!$AL$52="Baja",'Mapa final'!$AN$52="Moderado"),CONCATENATE("R2C",'Mapa final'!$U$52),"")</f>
        <v/>
      </c>
      <c r="AB47" s="55" t="str">
        <f>IF(AND('Mapa final'!$AL$63="Baja",'Mapa final'!$AN$53="Moderado"),CONCATENATE("R2C",'Mapa final'!$U$53),"")</f>
        <v/>
      </c>
      <c r="AC47" s="38" t="str">
        <f>IF(AND('Mapa final'!$AL$48="Baja",'Mapa final'!$AN$48="Mayor"),CONCATENATE("R2C",'Mapa final'!$U$48),"")</f>
        <v/>
      </c>
      <c r="AD47" s="39" t="str">
        <f>IF(AND('Mapa final'!$AL$49="Baja",'Mapa final'!$AN$49="Mayor"),CONCATENATE("R2C",'Mapa final'!$U$49),"")</f>
        <v/>
      </c>
      <c r="AE47" s="39" t="str">
        <f>IF(AND('Mapa final'!$AL$50="Baja",'Mapa final'!$AN$50="Mayor"),CONCATENATE("R2C",'Mapa final'!$U$50),"")</f>
        <v/>
      </c>
      <c r="AF47" s="39" t="str">
        <f>IF(AND('Mapa final'!$AL$51="Baja",'Mapa final'!$AN$51="Mayor"),CONCATENATE("R2C",'Mapa final'!$U$51),"")</f>
        <v/>
      </c>
      <c r="AG47" s="39" t="str">
        <f>IF(AND('Mapa final'!$AL$52="Baja",'Mapa final'!$AN$52="Mayor"),CONCATENATE("R2C",'Mapa final'!$U$52),"")</f>
        <v/>
      </c>
      <c r="AH47" s="40" t="str">
        <f>IF(AND('Mapa final'!$AL$63="Baja",'Mapa final'!$AN$53="Mayor"),CONCATENATE("R2C",'Mapa final'!$U$53),"")</f>
        <v/>
      </c>
      <c r="AI47" s="41" t="str">
        <f>IF(AND('Mapa final'!$AL$48="Baja",'Mapa final'!$AN$48="Catastrófico"),CONCATENATE("R2C",'Mapa final'!$U$48),"")</f>
        <v/>
      </c>
      <c r="AJ47" s="42" t="str">
        <f>IF(AND('Mapa final'!$AL$49="Baja",'Mapa final'!$AN$49="Catastrófico"),CONCATENATE("R2C",'Mapa final'!$U$49),"")</f>
        <v/>
      </c>
      <c r="AK47" s="42" t="str">
        <f>IF(AND('Mapa final'!$AL$50="Baja",'Mapa final'!$AN$50="Catastrófico"),CONCATENATE("R2C",'Mapa final'!$U$50),"")</f>
        <v/>
      </c>
      <c r="AL47" s="42" t="str">
        <f>IF(AND('Mapa final'!$AL$51="Baja",'Mapa final'!$AN$51="Catastrófico"),CONCATENATE("R2C",'Mapa final'!$U$51),"")</f>
        <v/>
      </c>
      <c r="AM47" s="42" t="str">
        <f>IF(AND('Mapa final'!$AL$52="Baja",'Mapa final'!$AN$52="Catastrófico"),CONCATENATE("R2C",'Mapa final'!$U$52),"")</f>
        <v/>
      </c>
      <c r="AN47" s="43" t="str">
        <f>IF(AND('Mapa final'!$AL$63="Baja",'Mapa final'!$AN$53="Catastrófico"),CONCATENATE("R2C",'Mapa final'!$U$53),"")</f>
        <v/>
      </c>
      <c r="AO47" s="69"/>
      <c r="AP47" s="502"/>
      <c r="AQ47" s="503"/>
      <c r="AR47" s="503"/>
      <c r="AS47" s="503"/>
      <c r="AT47" s="503"/>
      <c r="AU47" s="504"/>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81"/>
      <c r="D48" s="381"/>
      <c r="E48" s="382"/>
      <c r="F48" s="471"/>
      <c r="G48" s="472"/>
      <c r="H48" s="472"/>
      <c r="I48" s="472"/>
      <c r="J48" s="472"/>
      <c r="K48" s="62" t="str">
        <f>IF(AND('Mapa final'!$AL$54="Baja",'Mapa final'!$AN$54="Leve"),CONCATENATE("R2C",'Mapa final'!$U$54),"")</f>
        <v/>
      </c>
      <c r="L48" s="63" t="str">
        <f>IF(AND('Mapa final'!$AL$55="Baja",'Mapa final'!$AN$55="Leve"),CONCATENATE("R2C",'Mapa final'!$U$55),"")</f>
        <v/>
      </c>
      <c r="M48" s="63" t="str">
        <f>IF(AND('Mapa final'!$AL$56="Baja",'Mapa final'!$AN$56="Leve"),CONCATENATE("R2C",'Mapa final'!$U$56),"")</f>
        <v/>
      </c>
      <c r="N48" s="63" t="str">
        <f>IF(AND('Mapa final'!$AL$57="Baja",'Mapa final'!$AN$57="Leve"),CONCATENATE("R2C",'Mapa final'!$U$57),"")</f>
        <v/>
      </c>
      <c r="O48" s="63" t="str">
        <f>IF(AND('Mapa final'!$AL$58="Baja",'Mapa final'!$AN$58="Leve"),CONCATENATE("R2C",'Mapa final'!$U$58),"")</f>
        <v/>
      </c>
      <c r="P48" s="64" t="str">
        <f>IF(AND('Mapa final'!$AL$59="Baja",'Mapa final'!$AN$59="Leve"),CONCATENATE("R2C",'Mapa final'!$U$59),"")</f>
        <v/>
      </c>
      <c r="Q48" s="53" t="str">
        <f>IF(AND('Mapa final'!$AL$54="Baja",'Mapa final'!$AN$54="Menor"),CONCATENATE("R2C",'Mapa final'!$U$54),"")</f>
        <v/>
      </c>
      <c r="R48" s="54" t="str">
        <f>IF(AND('Mapa final'!$AL$55="Baja",'Mapa final'!$AN$55="Menor"),CONCATENATE("R2C",'Mapa final'!$U$55),"")</f>
        <v/>
      </c>
      <c r="S48" s="54" t="str">
        <f>IF(AND('Mapa final'!$AL$56="Baja",'Mapa final'!$AN$56="Menor"),CONCATENATE("R2C",'Mapa final'!$U$56),"")</f>
        <v/>
      </c>
      <c r="T48" s="54" t="str">
        <f>IF(AND('Mapa final'!$AL$57="Baja",'Mapa final'!$AN$57="Menor"),CONCATENATE("R2C",'Mapa final'!$U$57),"")</f>
        <v/>
      </c>
      <c r="U48" s="54" t="str">
        <f>IF(AND('Mapa final'!$AL$58="Baja",'Mapa final'!$AN$58="Menor"),CONCATENATE("R2C",'Mapa final'!$U$58),"")</f>
        <v/>
      </c>
      <c r="V48" s="55" t="str">
        <f>IF(AND('Mapa final'!$AL$59="Baja",'Mapa final'!$AN$59="Menor"),CONCATENATE("R2C",'Mapa final'!$U$59),"")</f>
        <v/>
      </c>
      <c r="W48" s="53" t="str">
        <f>IF(AND('Mapa final'!$AL$54="Baja",'Mapa final'!$AN$54="Moderado"),CONCATENATE("R2C",'Mapa final'!$U$54),"")</f>
        <v/>
      </c>
      <c r="X48" s="54" t="str">
        <f>IF(AND('Mapa final'!$AL$55="Baja",'Mapa final'!$AN$55="Moderado"),CONCATENATE("R2C",'Mapa final'!$U$55),"")</f>
        <v/>
      </c>
      <c r="Y48" s="54" t="str">
        <f>IF(AND('Mapa final'!$AL$56="Baja",'Mapa final'!$AN$56="Moderado"),CONCATENATE("R2C",'Mapa final'!$U$56),"")</f>
        <v/>
      </c>
      <c r="Z48" s="54" t="str">
        <f>IF(AND('Mapa final'!$AL$57="Baja",'Mapa final'!$AN$57="Moderado"),CONCATENATE("R2C",'Mapa final'!$U$57),"")</f>
        <v/>
      </c>
      <c r="AA48" s="54" t="str">
        <f>IF(AND('Mapa final'!$AL$58="Baja",'Mapa final'!$AN$58="Moderado"),CONCATENATE("R2C",'Mapa final'!$U$58),"")</f>
        <v/>
      </c>
      <c r="AB48" s="55" t="str">
        <f>IF(AND('Mapa final'!$AL$59="Baja",'Mapa final'!$AN$59="Moderado"),CONCATENATE("R2C",'Mapa final'!$U$59),"")</f>
        <v/>
      </c>
      <c r="AC48" s="38" t="str">
        <f>IF(AND('Mapa final'!$AL$54="Baja",'Mapa final'!$AN$54="Mayor"),CONCATENATE("R2C",'Mapa final'!$U$54),"")</f>
        <v/>
      </c>
      <c r="AD48" s="39" t="str">
        <f>IF(AND('Mapa final'!$AL$55="Baja",'Mapa final'!$AN$55="Mayor"),CONCATENATE("R2C",'Mapa final'!$U$55),"")</f>
        <v/>
      </c>
      <c r="AE48" s="39" t="str">
        <f>IF(AND('Mapa final'!$AL$56="Baja",'Mapa final'!$AN$56="Mayor"),CONCATENATE("R2C",'Mapa final'!$U$56),"")</f>
        <v/>
      </c>
      <c r="AF48" s="39" t="str">
        <f>IF(AND('Mapa final'!$AL$57="Baja",'Mapa final'!$AN$57="Mayor"),CONCATENATE("R2C",'Mapa final'!$U$57),"")</f>
        <v/>
      </c>
      <c r="AG48" s="39" t="str">
        <f>IF(AND('Mapa final'!$AL$58="Baja",'Mapa final'!$AN$58="Mayor"),CONCATENATE("R2C",'Mapa final'!$U$58),"")</f>
        <v/>
      </c>
      <c r="AH48" s="40" t="str">
        <f>IF(AND('Mapa final'!$AL$59="Baja",'Mapa final'!$AN$59="Mayor"),CONCATENATE("R2C",'Mapa final'!$U$59),"")</f>
        <v/>
      </c>
      <c r="AI48" s="41" t="str">
        <f>IF(AND('Mapa final'!$AL$54="Baja",'Mapa final'!$AN$54="Catastrófico"),CONCATENATE("R2C",'Mapa final'!$U$54),"")</f>
        <v/>
      </c>
      <c r="AJ48" s="42" t="str">
        <f>IF(AND('Mapa final'!$AL$55="Baja",'Mapa final'!$AN$55="Catastrófico"),CONCATENATE("R2C",'Mapa final'!$U$55),"")</f>
        <v/>
      </c>
      <c r="AK48" s="42" t="str">
        <f>IF(AND('Mapa final'!$AL$56="Baja",'Mapa final'!$AN$56="Catastrófico"),CONCATENATE("R2C",'Mapa final'!$U$56),"")</f>
        <v/>
      </c>
      <c r="AL48" s="42" t="str">
        <f>IF(AND('Mapa final'!$AL$57="Baja",'Mapa final'!$AN$57="Catastrófico"),CONCATENATE("R2C",'Mapa final'!$U$57),"")</f>
        <v/>
      </c>
      <c r="AM48" s="42" t="str">
        <f>IF(AND('Mapa final'!$AL$58="Baja",'Mapa final'!$AN$58="Catastrófico"),CONCATENATE("R2C",'Mapa final'!$U$58),"")</f>
        <v/>
      </c>
      <c r="AN48" s="43" t="str">
        <f>IF(AND('Mapa final'!$AL$59="Baja",'Mapa final'!$AN$59="Catastrófico"),CONCATENATE("R2C",'Mapa final'!$U$59),"")</f>
        <v/>
      </c>
      <c r="AO48" s="69"/>
      <c r="AP48" s="502"/>
      <c r="AQ48" s="503"/>
      <c r="AR48" s="503"/>
      <c r="AS48" s="503"/>
      <c r="AT48" s="503"/>
      <c r="AU48" s="504"/>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81"/>
      <c r="D49" s="381"/>
      <c r="E49" s="382"/>
      <c r="F49" s="471"/>
      <c r="G49" s="472"/>
      <c r="H49" s="472"/>
      <c r="I49" s="472"/>
      <c r="J49" s="472"/>
      <c r="K49" s="62" t="str">
        <f>IF(AND('Mapa final'!$AL$60="Baja",'Mapa final'!$AN$60="Leve"),CONCATENATE("R2C",'Mapa final'!$U$60),"")</f>
        <v/>
      </c>
      <c r="L49" s="63" t="str">
        <f>IF(AND('Mapa final'!$AL$61="Baja",'Mapa final'!$AN$61="Leve"),CONCATENATE("R2C",'Mapa final'!$U$61),"")</f>
        <v/>
      </c>
      <c r="M49" s="63" t="str">
        <f>IF(AND('Mapa final'!$AL$62="Baja",'Mapa final'!$AN$62="Leve"),CONCATENATE("R2C",'Mapa final'!$U$62),"")</f>
        <v/>
      </c>
      <c r="N49" s="63" t="str">
        <f>IF(AND('Mapa final'!$AL$63="Baja",'Mapa final'!$AN$63="Leve"),CONCATENATE("R2C",'Mapa final'!$U$63),"")</f>
        <v/>
      </c>
      <c r="O49" s="63" t="str">
        <f>IF(AND('Mapa final'!$AL$64="Baja",'Mapa final'!$AN$64="Leve"),CONCATENATE("R2C",'Mapa final'!$U$64),"")</f>
        <v/>
      </c>
      <c r="P49" s="64" t="str">
        <f>IF(AND('Mapa final'!$AL$65="Baja",'Mapa final'!$AN$65="Leve"),CONCATENATE("R2C",'Mapa final'!$U$65),"")</f>
        <v/>
      </c>
      <c r="Q49" s="53" t="str">
        <f>IF(AND('Mapa final'!$AL$60="Baja",'Mapa final'!$AN$60="Menor"),CONCATENATE("R2C",'Mapa final'!$U$60),"")</f>
        <v/>
      </c>
      <c r="R49" s="54" t="str">
        <f>IF(AND('Mapa final'!$AL$61="Baja",'Mapa final'!$AN$61="Menor"),CONCATENATE("R2C",'Mapa final'!$U$61),"")</f>
        <v/>
      </c>
      <c r="S49" s="54" t="str">
        <f>IF(AND('Mapa final'!$AL$62="Baja",'Mapa final'!$AN$62="Menor"),CONCATENATE("R2C",'Mapa final'!$U$62),"")</f>
        <v/>
      </c>
      <c r="T49" s="54" t="str">
        <f>IF(AND('Mapa final'!$AL$63="Baja",'Mapa final'!$AN$63="Menor"),CONCATENATE("R2C",'Mapa final'!$U$63),"")</f>
        <v/>
      </c>
      <c r="U49" s="54" t="str">
        <f>IF(AND('Mapa final'!$AL$64="Baja",'Mapa final'!$AN$64="Menor"),CONCATENATE("R2C",'Mapa final'!$U$64),"")</f>
        <v/>
      </c>
      <c r="V49" s="55" t="str">
        <f>IF(AND('Mapa final'!$AL$65="Baja",'Mapa final'!$AN$65="Menor"),CONCATENATE("R2C",'Mapa final'!$U$65),"")</f>
        <v/>
      </c>
      <c r="W49" s="53" t="str">
        <f>IF(AND('Mapa final'!$AL$60="Baja",'Mapa final'!$AN$60="Moderado"),CONCATENATE("R2C",'Mapa final'!$U$60),"")</f>
        <v/>
      </c>
      <c r="X49" s="54" t="str">
        <f>IF(AND('Mapa final'!$AL$61="Baja",'Mapa final'!$AN$61="Moderado"),CONCATENATE("R2C",'Mapa final'!$U$61),"")</f>
        <v/>
      </c>
      <c r="Y49" s="54" t="str">
        <f>IF(AND('Mapa final'!$AL$62="Baja",'Mapa final'!$AN$62="Moderado"),CONCATENATE("R2C",'Mapa final'!$U$62),"")</f>
        <v/>
      </c>
      <c r="Z49" s="54" t="str">
        <f>IF(AND('Mapa final'!$AL$63="Baja",'Mapa final'!$AN$63="Moderado"),CONCATENATE("R2C",'Mapa final'!$U$63),"")</f>
        <v/>
      </c>
      <c r="AA49" s="54" t="str">
        <f>IF(AND('Mapa final'!$AL$64="Baja",'Mapa final'!$AN$64="Moderado"),CONCATENATE("R2C",'Mapa final'!$U$64),"")</f>
        <v/>
      </c>
      <c r="AB49" s="55" t="str">
        <f>IF(AND('Mapa final'!$AL$65="Baja",'Mapa final'!$AN$65="Moderado"),CONCATENATE("R2C",'Mapa final'!$U$65),"")</f>
        <v/>
      </c>
      <c r="AC49" s="38" t="str">
        <f>IF(AND('Mapa final'!$AL$60="Baja",'Mapa final'!$AN$60="Mayor"),CONCATENATE("R2C",'Mapa final'!$U$60),"")</f>
        <v/>
      </c>
      <c r="AD49" s="39" t="str">
        <f>IF(AND('Mapa final'!$AL$61="Baja",'Mapa final'!$AN$61="Mayor"),CONCATENATE("R2C",'Mapa final'!$U$61),"")</f>
        <v/>
      </c>
      <c r="AE49" s="39" t="str">
        <f>IF(AND('Mapa final'!$AL$62="Baja",'Mapa final'!$AN$62="Mayor"),CONCATENATE("R2C",'Mapa final'!$U$62),"")</f>
        <v/>
      </c>
      <c r="AF49" s="39" t="str">
        <f>IF(AND('Mapa final'!$AL$63="Baja",'Mapa final'!$AN$63="Mayor"),CONCATENATE("R2C",'Mapa final'!$U$63),"")</f>
        <v/>
      </c>
      <c r="AG49" s="39" t="str">
        <f>IF(AND('Mapa final'!$AL$64="Baja",'Mapa final'!$AN$64="Mayor"),CONCATENATE("R2C",'Mapa final'!$U$64),"")</f>
        <v/>
      </c>
      <c r="AH49" s="40" t="str">
        <f>IF(AND('Mapa final'!$AL$65="Baja",'Mapa final'!$AN$65="Mayor"),CONCATENATE("R2C",'Mapa final'!$U$65),"")</f>
        <v/>
      </c>
      <c r="AI49" s="41" t="str">
        <f>IF(AND('Mapa final'!$AL$60="Baja",'Mapa final'!$AN$60="Catastrófico"),CONCATENATE("R2C",'Mapa final'!$U$60),"")</f>
        <v/>
      </c>
      <c r="AJ49" s="42" t="str">
        <f>IF(AND('Mapa final'!$AL$61="Baja",'Mapa final'!$AN$61="Catastrófico"),CONCATENATE("R2C",'Mapa final'!$U$61),"")</f>
        <v/>
      </c>
      <c r="AK49" s="42" t="str">
        <f>IF(AND('Mapa final'!$AL$62="Baja",'Mapa final'!$AN$62="Catastrófico"),CONCATENATE("R2C",'Mapa final'!$U$62),"")</f>
        <v/>
      </c>
      <c r="AL49" s="42" t="str">
        <f>IF(AND('Mapa final'!$AL$63="Baja",'Mapa final'!$AN$63="Catastrófico"),CONCATENATE("R2C",'Mapa final'!$U$63),"")</f>
        <v/>
      </c>
      <c r="AM49" s="42" t="str">
        <f>IF(AND('Mapa final'!$AL$64="Baja",'Mapa final'!$AN$64="Catastrófico"),CONCATENATE("R2C",'Mapa final'!$U$64),"")</f>
        <v/>
      </c>
      <c r="AN49" s="43" t="str">
        <f>IF(AND('Mapa final'!$AL$65="Baja",'Mapa final'!$AN$65="Catastrófico"),CONCATENATE("R2C",'Mapa final'!$U$65),"")</f>
        <v/>
      </c>
      <c r="AO49" s="69"/>
      <c r="AP49" s="502"/>
      <c r="AQ49" s="503"/>
      <c r="AR49" s="503"/>
      <c r="AS49" s="503"/>
      <c r="AT49" s="503"/>
      <c r="AU49" s="504"/>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81"/>
      <c r="D50" s="381"/>
      <c r="E50" s="382"/>
      <c r="F50" s="471"/>
      <c r="G50" s="472"/>
      <c r="H50" s="472"/>
      <c r="I50" s="472"/>
      <c r="J50" s="472"/>
      <c r="K50" s="62" t="str">
        <f>IF(AND('Mapa final'!$AL$66="Baja",'Mapa final'!$AN$66="Leve"),CONCATENATE("R2C",'Mapa final'!$U$66),"")</f>
        <v/>
      </c>
      <c r="L50" s="63" t="str">
        <f>IF(AND('Mapa final'!$AL$67="Baja",'Mapa final'!$AN$67="Leve"),CONCATENATE("R2C",'Mapa final'!$U$67),"")</f>
        <v/>
      </c>
      <c r="M50" s="63" t="str">
        <f>IF(AND('Mapa final'!$AL$68="Baja",'Mapa final'!$AN$68="Leve"),CONCATENATE("R2C",'Mapa final'!$U$68),"")</f>
        <v/>
      </c>
      <c r="N50" s="63" t="str">
        <f>IF(AND('Mapa final'!$AL$69="Baja",'Mapa final'!$AN$69="Leve"),CONCATENATE("R2C",'Mapa final'!$U$69),"")</f>
        <v/>
      </c>
      <c r="O50" s="63" t="str">
        <f>IF(AND('Mapa final'!$AL$70="Baja",'Mapa final'!$AN$70="Leve"),CONCATENATE("R2C",'Mapa final'!$U$70),"")</f>
        <v/>
      </c>
      <c r="P50" s="64" t="str">
        <f>IF(AND('Mapa final'!$AL$71="Baja",'Mapa final'!$AN$71="Leve"),CONCATENATE("R2C",'Mapa final'!$U$71),"")</f>
        <v/>
      </c>
      <c r="Q50" s="53" t="str">
        <f>IF(AND('Mapa final'!$AL$66="Baja",'Mapa final'!$AN$66="Menor"),CONCATENATE("R2C",'Mapa final'!$U$66),"")</f>
        <v/>
      </c>
      <c r="R50" s="54" t="str">
        <f>IF(AND('Mapa final'!$AL$67="Baja",'Mapa final'!$AN$67="Menor"),CONCATENATE("R2C",'Mapa final'!$U$67),"")</f>
        <v/>
      </c>
      <c r="S50" s="54" t="str">
        <f>IF(AND('Mapa final'!$AL$68="Baja",'Mapa final'!$AN$68="Menor"),CONCATENATE("R2C",'Mapa final'!$U$68),"")</f>
        <v/>
      </c>
      <c r="T50" s="54" t="str">
        <f>IF(AND('Mapa final'!$AL$69="Baja",'Mapa final'!$AN$69="Menor"),CONCATENATE("R2C",'Mapa final'!$U$69),"")</f>
        <v/>
      </c>
      <c r="U50" s="54" t="str">
        <f>IF(AND('Mapa final'!$AL$70="Baja",'Mapa final'!$AN$70="Menor"),CONCATENATE("R2C",'Mapa final'!$U$70),"")</f>
        <v/>
      </c>
      <c r="V50" s="55" t="str">
        <f>IF(AND('Mapa final'!$AL$71="Baja",'Mapa final'!$AN$71="Menor"),CONCATENATE("R2C",'Mapa final'!$U$71),"")</f>
        <v/>
      </c>
      <c r="W50" s="53" t="str">
        <f>IF(AND('Mapa final'!$AL$66="Baja",'Mapa final'!$AN$66="Moderado"),CONCATENATE("R2C",'Mapa final'!$U$66),"")</f>
        <v/>
      </c>
      <c r="X50" s="54" t="str">
        <f>IF(AND('Mapa final'!$AL$67="Baja",'Mapa final'!$AN$67="Moderado"),CONCATENATE("R2C",'Mapa final'!$U$67),"")</f>
        <v/>
      </c>
      <c r="Y50" s="54" t="str">
        <f>IF(AND('Mapa final'!$AL$68="Baja",'Mapa final'!$AN$68="Moderado"),CONCATENATE("R2C",'Mapa final'!$U$68),"")</f>
        <v/>
      </c>
      <c r="Z50" s="54" t="str">
        <f>IF(AND('Mapa final'!$AL$69="Baja",'Mapa final'!$AN$69="Moderado"),CONCATENATE("R2C",'Mapa final'!$U$69),"")</f>
        <v/>
      </c>
      <c r="AA50" s="54" t="str">
        <f>IF(AND('Mapa final'!$AL$70="Baja",'Mapa final'!$AN$70="Moderado"),CONCATENATE("R2C",'Mapa final'!$U$70),"")</f>
        <v/>
      </c>
      <c r="AB50" s="55" t="str">
        <f>IF(AND('Mapa final'!$AL$71="Baja",'Mapa final'!$AN$71="Moderado"),CONCATENATE("R2C",'Mapa final'!$U$71),"")</f>
        <v/>
      </c>
      <c r="AC50" s="38" t="str">
        <f>IF(AND('Mapa final'!$AL$66="Baja",'Mapa final'!$AN$66="Mayor"),CONCATENATE("R2C",'Mapa final'!$U$66),"")</f>
        <v/>
      </c>
      <c r="AD50" s="39" t="str">
        <f>IF(AND('Mapa final'!$AL$67="Baja",'Mapa final'!$AN$67="Mayor"),CONCATENATE("R2C",'Mapa final'!$U$67),"")</f>
        <v/>
      </c>
      <c r="AE50" s="39" t="str">
        <f>IF(AND('Mapa final'!$AL$68="Baja",'Mapa final'!$AN$68="Mayor"),CONCATENATE("R2C",'Mapa final'!$U$68),"")</f>
        <v/>
      </c>
      <c r="AF50" s="39" t="str">
        <f>IF(AND('Mapa final'!$AL$69="Baja",'Mapa final'!$AN$69="Mayor"),CONCATENATE("R2C",'Mapa final'!$U$69),"")</f>
        <v/>
      </c>
      <c r="AG50" s="39" t="str">
        <f>IF(AND('Mapa final'!$AL$70="Baja",'Mapa final'!$AN$70="Mayor"),CONCATENATE("R2C",'Mapa final'!$U$70),"")</f>
        <v/>
      </c>
      <c r="AH50" s="40" t="str">
        <f>IF(AND('Mapa final'!$AL$71="Baja",'Mapa final'!$AN$71="Mayor"),CONCATENATE("R2C",'Mapa final'!$U$71),"")</f>
        <v/>
      </c>
      <c r="AI50" s="41" t="str">
        <f>IF(AND('Mapa final'!$AL$66="Baja",'Mapa final'!$AN$66="Catastrófico"),CONCATENATE("R2C",'Mapa final'!$U$66),"")</f>
        <v/>
      </c>
      <c r="AJ50" s="42" t="str">
        <f>IF(AND('Mapa final'!$AL$67="Baja",'Mapa final'!$AN$67="Catastrófico"),CONCATENATE("R2C",'Mapa final'!$U$67),"")</f>
        <v/>
      </c>
      <c r="AK50" s="42" t="str">
        <f>IF(AND('Mapa final'!$AL$68="Baja",'Mapa final'!$AN$68="Catastrófico"),CONCATENATE("R2C",'Mapa final'!$U$68),"")</f>
        <v/>
      </c>
      <c r="AL50" s="42" t="str">
        <f>IF(AND('Mapa final'!$AL$69="Baja",'Mapa final'!$AN$69="Catastrófico"),CONCATENATE("R2C",'Mapa final'!$U$69),"")</f>
        <v/>
      </c>
      <c r="AM50" s="42" t="str">
        <f>IF(AND('Mapa final'!$AL$70="Baja",'Mapa final'!$AN$70="Catastrófico"),CONCATENATE("R2C",'Mapa final'!$U$70),"")</f>
        <v/>
      </c>
      <c r="AN50" s="43" t="str">
        <f>IF(AND('Mapa final'!$AL$71="Baja",'Mapa final'!$AN$71="Catastrófico"),CONCATENATE("R2C",'Mapa final'!$U$71),"")</f>
        <v/>
      </c>
      <c r="AO50" s="69"/>
      <c r="AP50" s="502"/>
      <c r="AQ50" s="503"/>
      <c r="AR50" s="503"/>
      <c r="AS50" s="503"/>
      <c r="AT50" s="503"/>
      <c r="AU50" s="504"/>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81"/>
      <c r="D51" s="381"/>
      <c r="E51" s="382"/>
      <c r="F51" s="474"/>
      <c r="G51" s="475"/>
      <c r="H51" s="475"/>
      <c r="I51" s="475"/>
      <c r="J51" s="475"/>
      <c r="K51" s="65" t="str">
        <f>IF(AND('Mapa final'!$AL$72="Baja",'Mapa final'!$AN$72="Leve"),CONCATENATE("R2C",'Mapa final'!$U$72),"")</f>
        <v/>
      </c>
      <c r="L51" s="66" t="str">
        <f>IF(AND('Mapa final'!$AL$73="Baja",'Mapa final'!$AN$73="Leve"),CONCATENATE("R2C",'Mapa final'!$U$73),"")</f>
        <v/>
      </c>
      <c r="M51" s="66" t="str">
        <f>IF(AND('Mapa final'!$AL$74="Baja",'Mapa final'!$AN$74="Leve"),CONCATENATE("R2C",'Mapa final'!$U$74),"")</f>
        <v/>
      </c>
      <c r="N51" s="66" t="str">
        <f>IF(AND('Mapa final'!$AL$75="Baja",'Mapa final'!$AN$75="Leve"),CONCATENATE("R2C",'Mapa final'!$U$75),"")</f>
        <v/>
      </c>
      <c r="O51" s="66" t="str">
        <f>IF(AND('Mapa final'!$AL$77="Baja",'Mapa final'!$AN$77="Leve"),CONCATENATE("R2C",'Mapa final'!$U$77),"")</f>
        <v/>
      </c>
      <c r="P51" s="67" t="str">
        <f>IF(AND('Mapa final'!$AL$78="Baja",'Mapa final'!$AN$78="Leve"),CONCATENATE("R2C",'Mapa final'!$U$78),"")</f>
        <v/>
      </c>
      <c r="Q51" s="53" t="str">
        <f>IF(AND('Mapa final'!$AL$72="Baja",'Mapa final'!$AN$72="Menor"),CONCATENATE("R2C",'Mapa final'!$U$72),"")</f>
        <v/>
      </c>
      <c r="R51" s="54" t="str">
        <f>IF(AND('Mapa final'!$AL$73="Baja",'Mapa final'!$AN$73="Menor"),CONCATENATE("R2C",'Mapa final'!$U$73),"")</f>
        <v/>
      </c>
      <c r="S51" s="54" t="str">
        <f>IF(AND('Mapa final'!$AL$74="Baja",'Mapa final'!$AN$74="Menor"),CONCATENATE("R2C",'Mapa final'!$U$74),"")</f>
        <v/>
      </c>
      <c r="T51" s="54" t="str">
        <f>IF(AND('Mapa final'!$AL$75="Baja",'Mapa final'!$AN$75="Menor"),CONCATENATE("R2C",'Mapa final'!$U$75),"")</f>
        <v/>
      </c>
      <c r="U51" s="54" t="str">
        <f>IF(AND('Mapa final'!$AL$77="Baja",'Mapa final'!$AN$77="Menor"),CONCATENATE("R2C",'Mapa final'!$U$77),"")</f>
        <v/>
      </c>
      <c r="V51" s="55" t="str">
        <f>IF(AND('Mapa final'!$AL$78="Baja",'Mapa final'!$AN$78="Menor"),CONCATENATE("R2C",'Mapa final'!$U$78),"")</f>
        <v/>
      </c>
      <c r="W51" s="56" t="str">
        <f>IF(AND('Mapa final'!$AL$72="Baja",'Mapa final'!$AN$72="Moderado"),CONCATENATE("R2C",'Mapa final'!$U$72),"")</f>
        <v/>
      </c>
      <c r="X51" s="57" t="str">
        <f>IF(AND('Mapa final'!$AL$73="Baja",'Mapa final'!$AN$73="Moderado"),CONCATENATE("R2C",'Mapa final'!$U$73),"")</f>
        <v/>
      </c>
      <c r="Y51" s="57" t="str">
        <f>IF(AND('Mapa final'!$AL$74="Baja",'Mapa final'!$AN$74="Moderado"),CONCATENATE("R2C",'Mapa final'!$U$74),"")</f>
        <v/>
      </c>
      <c r="Z51" s="57" t="str">
        <f>IF(AND('Mapa final'!$AL$75="Baja",'Mapa final'!$AN$75="Moderado"),CONCATENATE("R2C",'Mapa final'!$U$75),"")</f>
        <v/>
      </c>
      <c r="AA51" s="57" t="str">
        <f>IF(AND('Mapa final'!$AL$77="Baja",'Mapa final'!$AN$77="Moderado"),CONCATENATE("R2C",'Mapa final'!$U$77),"")</f>
        <v/>
      </c>
      <c r="AB51" s="58" t="str">
        <f>IF(AND('Mapa final'!$AL$78="Baja",'Mapa final'!$AN$78="Moderado"),CONCATENATE("R2C",'Mapa final'!$U$78),"")</f>
        <v/>
      </c>
      <c r="AC51" s="44" t="str">
        <f>IF(AND('Mapa final'!$AL$72="Baja",'Mapa final'!$AN$72="Mayor"),CONCATENATE("R2C",'Mapa final'!$U$72),"")</f>
        <v/>
      </c>
      <c r="AD51" s="45" t="str">
        <f>IF(AND('Mapa final'!$AL$73="Baja",'Mapa final'!$AN$73="Mayor"),CONCATENATE("R2C",'Mapa final'!$U$73),"")</f>
        <v/>
      </c>
      <c r="AE51" s="45" t="str">
        <f>IF(AND('Mapa final'!$AL$74="Baja",'Mapa final'!$AN$74="Mayor"),CONCATENATE("R2C",'Mapa final'!$U$74),"")</f>
        <v/>
      </c>
      <c r="AF51" s="45" t="str">
        <f>IF(AND('Mapa final'!$AL$75="Baja",'Mapa final'!$AN$75="Mayor"),CONCATENATE("R2C",'Mapa final'!$U$75),"")</f>
        <v/>
      </c>
      <c r="AG51" s="45" t="str">
        <f>IF(AND('Mapa final'!$AL$77="Baja",'Mapa final'!$AN$77="Mayor"),CONCATENATE("R2C",'Mapa final'!$U$77),"")</f>
        <v/>
      </c>
      <c r="AH51" s="46" t="str">
        <f>IF(AND('Mapa final'!$AL$78="Baja",'Mapa final'!$AN$78="Mayor"),CONCATENATE("R2C",'Mapa final'!$U$78),"")</f>
        <v/>
      </c>
      <c r="AI51" s="47" t="str">
        <f>IF(AND('Mapa final'!$AL$72="Baja",'Mapa final'!$AN$72="Catastrófico"),CONCATENATE("R2C",'Mapa final'!$U$72),"")</f>
        <v/>
      </c>
      <c r="AJ51" s="48" t="str">
        <f>IF(AND('Mapa final'!$AL$73="Baja",'Mapa final'!$AN$73="Catastrófico"),CONCATENATE("R2C",'Mapa final'!$U$73),"")</f>
        <v/>
      </c>
      <c r="AK51" s="48" t="str">
        <f>IF(AND('Mapa final'!$AL$74="Baja",'Mapa final'!$AN$74="Catastrófico"),CONCATENATE("R2C",'Mapa final'!$U$74),"")</f>
        <v/>
      </c>
      <c r="AL51" s="48" t="str">
        <f>IF(AND('Mapa final'!$AL$75="Baja",'Mapa final'!$AN$75="Catastrófico"),CONCATENATE("R2C",'Mapa final'!$U$75),"")</f>
        <v/>
      </c>
      <c r="AM51" s="48" t="str">
        <f>IF(AND('Mapa final'!$AL$77="Baja",'Mapa final'!$AN$77="Catastrófico"),CONCATENATE("R2C",'Mapa final'!$U$77),"")</f>
        <v/>
      </c>
      <c r="AN51" s="49" t="str">
        <f>IF(AND('Mapa final'!$AL$78="Baja",'Mapa final'!$AN$78="Catastrófico"),CONCATENATE("R2C",'Mapa final'!$U$78),"")</f>
        <v/>
      </c>
      <c r="AO51" s="69"/>
      <c r="AP51" s="505"/>
      <c r="AQ51" s="506"/>
      <c r="AR51" s="506"/>
      <c r="AS51" s="506"/>
      <c r="AT51" s="506"/>
      <c r="AU51" s="507"/>
    </row>
    <row r="52" spans="2:81" ht="41.25" customHeight="1" x14ac:dyDescent="0.35">
      <c r="B52" s="69"/>
      <c r="C52" s="381"/>
      <c r="D52" s="381"/>
      <c r="E52" s="382"/>
      <c r="F52" s="468" t="s">
        <v>112</v>
      </c>
      <c r="G52" s="469"/>
      <c r="H52" s="469"/>
      <c r="I52" s="469"/>
      <c r="J52" s="470"/>
      <c r="K52" s="59" t="str">
        <f>IF(AND('Mapa final'!$AL$15="Muy Baja",'Mapa final'!$AN$15="Leve"),CONCATENATE("R2C",'Mapa final'!$U$15),"")</f>
        <v/>
      </c>
      <c r="L52" s="60" t="str">
        <f>IF(AND('Mapa final'!$AL$16="Muy Baja",'Mapa final'!$AN$16="Leve"),CONCATENATE("R2C",'Mapa final'!$D$16),"")</f>
        <v/>
      </c>
      <c r="M52" s="60" t="str">
        <f>IF(AND('Mapa final'!$AL$17="Muy Baja",'Mapa final'!$AN$17="Leve"),CONCATENATE("R2C",'Mapa final'!$D$17),"")</f>
        <v/>
      </c>
      <c r="N52" s="60" t="str">
        <f>IF(AND('Mapa final'!$AL$18="Muy Baja",'Mapa final'!$AN$18="Leve"),CONCATENATE("R2C",'Mapa final'!$U$18),"")</f>
        <v/>
      </c>
      <c r="O52" s="60" t="str">
        <f>IF(AND('Mapa final'!$AL$20="Muy Baja",'Mapa final'!$AN$20="Leve"),CONCATENATE("R2C",'Mapa final'!$U$20),"")</f>
        <v/>
      </c>
      <c r="P52" s="61" t="str">
        <f>IF(AND('Mapa final'!$AL$21="Muy Baja",'Mapa final'!$AN$21="Leve"),CONCATENATE("R2C",'Mapa final'!$U$21),"")</f>
        <v/>
      </c>
      <c r="Q52" s="59" t="str">
        <f>IF(AND('Mapa final'!$AL$15="Muy Baja",'Mapa final'!$AN$15="Menor"),CONCATENATE("R2C",'Mapa final'!$U$15),"")</f>
        <v/>
      </c>
      <c r="R52" s="60" t="str">
        <f>IF(AND('Mapa final'!$AL$16="Muy Baja",'Mapa final'!$AN$16="Menore"),CONCATENATE("R2C",'Mapa final'!$U$16),"")</f>
        <v/>
      </c>
      <c r="S52" s="60" t="str">
        <f>IF(AND('Mapa final'!$AL$17="Muy Baja",'Mapa final'!$AN$17="Menor"),CONCATENATE("R2C",'Mapa final'!$D$17),"")</f>
        <v/>
      </c>
      <c r="T52" s="60" t="str">
        <f>IF(AND('Mapa final'!$AL$18="Muy Baja",'Mapa final'!$AN$18="Menor"),CONCATENATE("R2C",'Mapa final'!$U$18),"")</f>
        <v/>
      </c>
      <c r="U52" s="60" t="str">
        <f>IF(AND('Mapa final'!$AL$20="Muy Baja",'Mapa final'!$AN$20="Menor"),CONCATENATE("R2C",'Mapa final'!$U$20),"")</f>
        <v/>
      </c>
      <c r="V52" s="61" t="str">
        <f>IF(AND('Mapa final'!$AL$21="Muy Baja",'Mapa final'!$AN$21="Menor"),CONCATENATE("R2C",'Mapa final'!$U$21),"")</f>
        <v/>
      </c>
      <c r="W52" s="50" t="str">
        <f>IF(AND('Mapa final'!$AL$15="Muy Baja",'Mapa final'!$AN$15="Moderado"),CONCATENATE("R2C",'Mapa final'!$U$15),"")</f>
        <v/>
      </c>
      <c r="X52" s="68" t="str">
        <f>IF(AND('Mapa final'!$AL$16="Muy Baja",'Mapa final'!$AN$16="Moderado"),CONCATENATE("R2C",'Mapa final'!$U$16),"")</f>
        <v/>
      </c>
      <c r="Y52" s="51"/>
      <c r="Z52" s="51" t="str">
        <f>IF(AND('Mapa final'!$AL$18="Muy Baja",'Mapa final'!$AN$18="Moderado"),CONCATENATE("R2C",'Mapa final'!$U$18),"")</f>
        <v/>
      </c>
      <c r="AA52" s="51" t="str">
        <f>IF(AND('Mapa final'!$AL$20="Muy Baja",'Mapa final'!$AN$20="Moderado"),CONCATENATE("R2C",'Mapa final'!$U$20),"")</f>
        <v/>
      </c>
      <c r="AB52" s="52" t="str">
        <f>IF(AND('Mapa final'!$AL$21="Muy Baja",'Mapa final'!$AN$21="Moderado"),CONCATENATE("R2C",'Mapa final'!$U$21),"")</f>
        <v/>
      </c>
      <c r="AC52" s="32" t="str">
        <f>IF(AND('Mapa final'!$AL$15="Muy Baja",'Mapa final'!$AN$15="Mayor"),CONCATENATE("R2C",'Mapa final'!$U$15),"")</f>
        <v/>
      </c>
      <c r="AD52" s="33" t="str">
        <f>IF(AND('Mapa final'!$AL$16="Muy Baja",'Mapa final'!$AN$16="Mayor"),CONCATENATE("R2C",'Mapa final'!$U$16),"")</f>
        <v/>
      </c>
      <c r="AE52" s="33" t="str">
        <f>IF(AND('Mapa final'!$AL$17="Muy Baja",'Mapa final'!$AN$17="Mayor"),CONCATENATE("R2C",'Mapa final'!$U$17),"")</f>
        <v/>
      </c>
      <c r="AF52" s="33" t="str">
        <f>IF(AND('Mapa final'!$AL$18="Muy Baja",'Mapa final'!$AN$18="Mayor"),CONCATENATE("R2C",'Mapa final'!$U$18),"")</f>
        <v/>
      </c>
      <c r="AG52" s="33" t="str">
        <f>IF(AND('Mapa final'!$AL$20="Muy Baja",'Mapa final'!$AN$20="Mayor"),CONCATENATE("R2C",'Mapa final'!$U$20),"")</f>
        <v/>
      </c>
      <c r="AH52" s="34" t="str">
        <f>IF(AND('Mapa final'!$AL$21="Muy Baja",'Mapa final'!$AN$21="Mayor"),CONCATENATE("R2C",'Mapa final'!$U$21),"")</f>
        <v/>
      </c>
      <c r="AI52" s="35" t="str">
        <f>IF(AND('Mapa final'!$AL$15="Muy Baja",'Mapa final'!$AN$15="Catastrófico"),CONCATENATE("R2C",'Mapa final'!$U$15),"")</f>
        <v/>
      </c>
      <c r="AJ52" s="36" t="str">
        <f>IF(AND('Mapa final'!$AL$16="Muy Baja",'Mapa final'!$AN$16="Catastrófico"),CONCATENATE("R2C",'Mapa final'!$U$16),"")</f>
        <v/>
      </c>
      <c r="AK52" s="36" t="str">
        <f>IF(AND('Mapa final'!$AL$17="Muy Baja",'Mapa final'!$AN$17="Catastrófico"),CONCATENATE("R2C",'Mapa final'!$U$17),"")</f>
        <v/>
      </c>
      <c r="AL52" s="36" t="str">
        <f>IF(AND('Mapa final'!$AL$18="Muy Baja",'Mapa final'!$AN$18="Catastrófico"),CONCATENATE("R2C",'Mapa final'!$U$18),"")</f>
        <v/>
      </c>
      <c r="AM52" s="36" t="str">
        <f>IF(AND('Mapa final'!$AL$20="Muy Baja",'Mapa final'!$AN$20="Catastrófico"),CONCATENATE("R2C",'Mapa final'!$U$20),"")</f>
        <v/>
      </c>
      <c r="AN52" s="37" t="str">
        <f>IF(AND('Mapa final'!$AL$21="Muy Baja",'Mapa final'!$AN$21="Catastrófico"),CONCATENATE("R2C",'Mapa final'!$U$21),"")</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81"/>
      <c r="D53" s="381"/>
      <c r="E53" s="382"/>
      <c r="F53" s="486"/>
      <c r="G53" s="472"/>
      <c r="H53" s="472"/>
      <c r="I53" s="472"/>
      <c r="J53" s="473"/>
      <c r="K53" s="62" t="str">
        <f>IF(AND('Mapa final'!$AL$24="Muy Baja",'Mapa final'!$AN$24="Leve"),CONCATENATE("R2C",'Mapa final'!$U$24),"")</f>
        <v/>
      </c>
      <c r="L53" s="63" t="str">
        <f>IF(AND('Mapa final'!$AL$25="Muy Baja",'Mapa final'!$AN$25="Leve"),CONCATENATE("R2C",'Mapa final'!$U$25),"")</f>
        <v/>
      </c>
      <c r="M53" s="63" t="str">
        <f>IF(AND('Mapa final'!$AL$26="Muy Baja",'Mapa final'!$AN$26="Leve"),CONCATENATE("R2C",'Mapa final'!$U$26),"")</f>
        <v/>
      </c>
      <c r="N53" s="63" t="str">
        <f>IF(AND('Mapa final'!$AL$27="Muy Baja",'Mapa final'!$AN$27="Leve"),CONCATENATE("R2C",'Mapa final'!$U$27),"")</f>
        <v/>
      </c>
      <c r="O53" s="63" t="str">
        <f>IF(AND('Mapa final'!$AL$28="Muy Baja",'Mapa final'!$AN$28="Leve"),CONCATENATE("R2C",'Mapa final'!$U$28),"")</f>
        <v/>
      </c>
      <c r="P53" s="64" t="str">
        <f>IF(AND('Mapa final'!$AL$29="Muy Baja",'Mapa final'!$AN$29="Leve"),CONCATENATE("R2C",'Mapa final'!$U$29),"")</f>
        <v/>
      </c>
      <c r="Q53" s="62" t="str">
        <f>IF(AND('Mapa final'!$AL$24="Muy Baja",'Mapa final'!$AN$24="Menor"),CONCATENATE("R2C",'Mapa final'!$U$24),"")</f>
        <v/>
      </c>
      <c r="R53" s="63" t="str">
        <f>IF(AND('Mapa final'!$AL$25="Muy Baja",'Mapa final'!$AN$25="Menor"),CONCATENATE("R2C",'Mapa final'!$U$25),"")</f>
        <v/>
      </c>
      <c r="S53" s="63" t="str">
        <f>IF(AND('Mapa final'!$AL$26="Muy Baja",'Mapa final'!$AN$26="Menor"),CONCATENATE("R2C",'Mapa final'!$U$26),"")</f>
        <v/>
      </c>
      <c r="T53" s="63" t="str">
        <f>IF(AND('Mapa final'!$AL$27="Muy Baja",'Mapa final'!$AN$27="Menor"),CONCATENATE("R2C",'Mapa final'!$U$27),"")</f>
        <v/>
      </c>
      <c r="U53" s="63" t="str">
        <f>IF(AND('Mapa final'!$AL$28="Muy Baja",'Mapa final'!$AN$28="Menor"),CONCATENATE("R2C",'Mapa final'!$U$28),"")</f>
        <v/>
      </c>
      <c r="V53" s="64" t="str">
        <f>IF(AND('Mapa final'!$AL$29="Muy Baja",'Mapa final'!$AN$29="Menor"),CONCATENATE("R2C",'Mapa final'!$U$29),"")</f>
        <v/>
      </c>
      <c r="W53" s="53" t="str">
        <f>IF(AND('Mapa final'!$AL$24="Muy Baja",'Mapa final'!$AN$24="Moderado"),CONCATENATE("R2C",'Mapa final'!$U$24),"")</f>
        <v/>
      </c>
      <c r="X53" s="54" t="str">
        <f>IF(AND('Mapa final'!$AL$25="Muy Baja",'Mapa final'!$AN$25="Moderado"),CONCATENATE("R2C",'Mapa final'!$U$25),"")</f>
        <v/>
      </c>
      <c r="Y53" s="54" t="str">
        <f>IF(AND('Mapa final'!$AL$26="Muy Baja",'Mapa final'!$AN$26="Moderado"),CONCATENATE("R2C",'Mapa final'!$U$26),"")</f>
        <v/>
      </c>
      <c r="Z53" s="54" t="str">
        <f>IF(AND('Mapa final'!$AL$27="Muy Baja",'Mapa final'!$AN$27="Moderado"),CONCATENATE("R2C",'Mapa final'!$U$27),"")</f>
        <v/>
      </c>
      <c r="AA53" s="54" t="str">
        <f>IF(AND('Mapa final'!$AL$28="Muy Baja",'Mapa final'!$AN$28="Moderado"),CONCATENATE("R2C",'Mapa final'!$U$28),"")</f>
        <v/>
      </c>
      <c r="AB53" s="55" t="str">
        <f>IF(AND('Mapa final'!$AL$29="Muy Baja",'Mapa final'!$AN$29="Moderado"),CONCATENATE("R2C",'Mapa final'!$U$29),"")</f>
        <v/>
      </c>
      <c r="AC53" s="38" t="str">
        <f>IF(AND('Mapa final'!$AL$24="Muy Baja",'Mapa final'!$AN$24="Mayor"),CONCATENATE("R2C",'Mapa final'!$U$24),"")</f>
        <v/>
      </c>
      <c r="AD53" s="39" t="str">
        <f>IF(AND('Mapa final'!$AL$25="Muy Baja",'Mapa final'!$AN$25="Mayor"),CONCATENATE("R2C",'Mapa final'!$U$25),"")</f>
        <v/>
      </c>
      <c r="AE53" s="39" t="str">
        <f>IF(AND('Mapa final'!$AL$26="Muy Baja",'Mapa final'!$AN$26="Mayor"),CONCATENATE("R2C",'Mapa final'!$U$26),"")</f>
        <v/>
      </c>
      <c r="AF53" s="39" t="str">
        <f>IF(AND('Mapa final'!$AL$27="Muy Baja",'Mapa final'!$AN$27="Mayor"),CONCATENATE("R2C",'Mapa final'!$U$27),"")</f>
        <v/>
      </c>
      <c r="AG53" s="39" t="str">
        <f>IF(AND('Mapa final'!$AL$28="Muy Baja",'Mapa final'!$AN$28="Mayor"),CONCATENATE("R2C",'Mapa final'!$U$28),"")</f>
        <v/>
      </c>
      <c r="AH53" s="40" t="str">
        <f>IF(AND('Mapa final'!$AL$29="Muy Baja",'Mapa final'!$AN$29="Mayor"),CONCATENATE("R2C",'Mapa final'!$U$29),"")</f>
        <v/>
      </c>
      <c r="AI53" s="41" t="str">
        <f>IF(AND('Mapa final'!$AL$24="Muy Baja",'Mapa final'!$AN$24="Catastrófico"),CONCATENATE("R2C",'Mapa final'!$U$24),"")</f>
        <v/>
      </c>
      <c r="AJ53" s="42" t="str">
        <f>IF(AND('Mapa final'!$AL$25="Muy Baja",'Mapa final'!$AN$25="Catastrófico"),CONCATENATE("R2C",'Mapa final'!$U$25),"")</f>
        <v/>
      </c>
      <c r="AK53" s="42" t="str">
        <f>IF(AND('Mapa final'!$AL$26="Muy Baja",'Mapa final'!$AN$26="Catastrófico"),CONCATENATE("R2C",'Mapa final'!$U$26),"")</f>
        <v/>
      </c>
      <c r="AL53" s="42" t="str">
        <f>IF(AND('Mapa final'!$AL$27="Muy Baja",'Mapa final'!$AN$27="Catastrófico"),CONCATENATE("R2C",'Mapa final'!$U$27),"")</f>
        <v/>
      </c>
      <c r="AM53" s="42" t="str">
        <f>IF(AND('Mapa final'!$AL$28="Muy Baja",'Mapa final'!$AN$28="Catastrófico"),CONCATENATE("R2C",'Mapa final'!$U$28),"")</f>
        <v/>
      </c>
      <c r="AN53" s="43" t="str">
        <f>IF(AND('Mapa final'!$AL$29="Muy Baja",'Mapa final'!$AN$29="Catastrófico"),CONCATENATE("R2C",'Mapa final'!$U$29),"")</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81"/>
      <c r="D54" s="381"/>
      <c r="E54" s="382"/>
      <c r="F54" s="486"/>
      <c r="G54" s="472"/>
      <c r="H54" s="472"/>
      <c r="I54" s="472"/>
      <c r="J54" s="473"/>
      <c r="K54" s="62" t="str">
        <f>IF(AND('Mapa final'!$AL$30="Muy Baja",'Mapa final'!$AN$30="Leve"),CONCATENATE("R2C",'Mapa final'!$U$30),"")</f>
        <v/>
      </c>
      <c r="L54" s="63" t="str">
        <f>IF(AND('Mapa final'!$AL$31="Muy Baja",'Mapa final'!$AN$31="Leve"),CONCATENATE("R2C",'Mapa final'!$U$31),"")</f>
        <v/>
      </c>
      <c r="M54" s="63" t="str">
        <f>IF(AND('Mapa final'!$AL$32="Muy Baja",'Mapa final'!$AN$32="Leve"),CONCATENATE("R2C",'Mapa final'!$U$32),"")</f>
        <v/>
      </c>
      <c r="N54" s="63" t="str">
        <f>IF(AND('Mapa final'!$AL$33="Muy Baja",'Mapa final'!$AN$33="Leve"),CONCATENATE("R2C",'Mapa final'!$U$33),"")</f>
        <v/>
      </c>
      <c r="O54" s="63" t="str">
        <f>IF(AND('Mapa final'!$AL$34="Muy Baja",'Mapa final'!$AN$34="Leve"),CONCATENATE("R2C",'Mapa final'!$U$34),"")</f>
        <v/>
      </c>
      <c r="P54" s="64" t="str">
        <f>IF(AND('Mapa final'!$AL$35="Muy Baja",'Mapa final'!$AN$35="Leve"),CONCATENATE("R2C",'Mapa final'!$U$35),"")</f>
        <v/>
      </c>
      <c r="Q54" s="62" t="str">
        <f>IF(AND('Mapa final'!$AL$30="Muy Baja",'Mapa final'!$AN$30="Menor"),CONCATENATE("R2C",'Mapa final'!$U$30),"")</f>
        <v/>
      </c>
      <c r="R54" s="63" t="str">
        <f>IF(AND('Mapa final'!$AL$31="Muy Baja",'Mapa final'!$AN$31="Menor"),CONCATENATE("R2C",'Mapa final'!$U$31),"")</f>
        <v/>
      </c>
      <c r="S54" s="63" t="str">
        <f>IF(AND('Mapa final'!$AL$32="Muy Baja",'Mapa final'!$AN$32="Menor"),CONCATENATE("R2C",'Mapa final'!$U$32),"")</f>
        <v/>
      </c>
      <c r="T54" s="63" t="str">
        <f>IF(AND('Mapa final'!$AL$33="Muy Baja",'Mapa final'!$AN$33="Menor"),CONCATENATE("R2C",'Mapa final'!$U$33),"")</f>
        <v/>
      </c>
      <c r="U54" s="63" t="str">
        <f>IF(AND('Mapa final'!$AL$34="Muy Baja",'Mapa final'!$AN$34="Menor"),CONCATENATE("R2C",'Mapa final'!$U$34),"")</f>
        <v/>
      </c>
      <c r="V54" s="64" t="str">
        <f>IF(AND('Mapa final'!$AL$35="Muy Baja",'Mapa final'!$AN$35="Menor"),CONCATENATE("R2C",'Mapa final'!$U$35),"")</f>
        <v/>
      </c>
      <c r="W54" s="53" t="str">
        <f>IF(AND('Mapa final'!$AL$30="Muy Baja",'Mapa final'!$AN$30="Moderado"),CONCATENATE("R2C",'Mapa final'!$U$30),"")</f>
        <v/>
      </c>
      <c r="X54" s="54" t="str">
        <f>IF(AND('Mapa final'!$AL$31="Muy Baja",'Mapa final'!$AN$31="Moderado"),CONCATENATE("R2C",'Mapa final'!$U$31),"")</f>
        <v/>
      </c>
      <c r="Y54" s="54" t="str">
        <f>IF(AND('Mapa final'!$AL$32="Muy Baja",'Mapa final'!$AN$32="Moderado"),CONCATENATE("R2C",'Mapa final'!$U$32),"")</f>
        <v/>
      </c>
      <c r="Z54" s="54" t="str">
        <f>IF(AND('Mapa final'!$AL$33="Muy Baja",'Mapa final'!$AN$33="Moderado"),CONCATENATE("R2C",'Mapa final'!$U$33),"")</f>
        <v/>
      </c>
      <c r="AA54" s="54" t="str">
        <f>IF(AND('Mapa final'!$AL$34="Muy Baja",'Mapa final'!$AN$34="Moderado"),CONCATENATE("R2C",'Mapa final'!$U$34),"")</f>
        <v/>
      </c>
      <c r="AB54" s="55" t="str">
        <f>IF(AND('Mapa final'!$AL$35="Muy Baja",'Mapa final'!$AN$35="Moderado"),CONCATENATE("R2C",'Mapa final'!$U$35),"")</f>
        <v/>
      </c>
      <c r="AC54" s="38" t="str">
        <f>IF(AND('Mapa final'!$AL$30="Muy Baja",'Mapa final'!$AN$30="Mayor"),CONCATENATE("R2C",'Mapa final'!$U$30),"")</f>
        <v/>
      </c>
      <c r="AD54" s="39" t="str">
        <f>IF(AND('Mapa final'!$AL$31="Muy Baja",'Mapa final'!$AN$31="Mayor"),CONCATENATE("R2C",'Mapa final'!$U$31),"")</f>
        <v/>
      </c>
      <c r="AE54" s="39" t="str">
        <f>IF(AND('Mapa final'!$AL$32="Muy Baja",'Mapa final'!$AN$32="Mayor"),CONCATENATE("R2C",'Mapa final'!$U$32),"")</f>
        <v/>
      </c>
      <c r="AF54" s="39" t="str">
        <f>IF(AND('Mapa final'!$AL$33="Muy Baja",'Mapa final'!$AN$33="Mayor"),CONCATENATE("R2C",'Mapa final'!$U$33),"")</f>
        <v/>
      </c>
      <c r="AG54" s="39" t="str">
        <f>IF(AND('Mapa final'!$AL$34="Muy Baja",'Mapa final'!$AN$34="Mayor"),CONCATENATE("R2C",'Mapa final'!$U$34),"")</f>
        <v/>
      </c>
      <c r="AH54" s="40" t="str">
        <f>IF(AND('Mapa final'!$AL$35="Muy Baja",'Mapa final'!$AN$35="Mayor"),CONCATENATE("R2C",'Mapa final'!$U$35),"")</f>
        <v/>
      </c>
      <c r="AI54" s="41" t="str">
        <f>IF(AND('Mapa final'!$AL$30="Muy Baja",'Mapa final'!$AN$30="Catastrófico"),CONCATENATE("R2C",'Mapa final'!$U$30),"")</f>
        <v/>
      </c>
      <c r="AJ54" s="42" t="str">
        <f>IF(AND('Mapa final'!$AL$31="Muy Baja",'Mapa final'!$AN$31="Catastrófico"),CONCATENATE("R2C",'Mapa final'!$U$31),"")</f>
        <v/>
      </c>
      <c r="AK54" s="42" t="str">
        <f>IF(AND('Mapa final'!$AL$32="Muy Baja",'Mapa final'!$AN$32="Catastrófico"),CONCATENATE("R2C",'Mapa final'!$U$32),"")</f>
        <v/>
      </c>
      <c r="AL54" s="42" t="str">
        <f>IF(AND('Mapa final'!$AL$33="Muy Baja",'Mapa final'!$AN$33="Catastrófico"),CONCATENATE("R2C",'Mapa final'!$U$33),"")</f>
        <v/>
      </c>
      <c r="AM54" s="42" t="str">
        <f>IF(AND('Mapa final'!$AL$34="Muy Baja",'Mapa final'!$AN$34="Catastrófico"),CONCATENATE("R2C",'Mapa final'!$U$34),"")</f>
        <v/>
      </c>
      <c r="AN54" s="43" t="str">
        <f>IF(AND('Mapa final'!$AL$35="Muy Baja",'Mapa final'!$AN$35="Catastrófico"),CONCATENATE("R2C",'Mapa final'!$U$35),"")</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81"/>
      <c r="D55" s="381"/>
      <c r="E55" s="382"/>
      <c r="F55" s="471"/>
      <c r="G55" s="472"/>
      <c r="H55" s="472"/>
      <c r="I55" s="472"/>
      <c r="J55" s="473"/>
      <c r="K55" s="62" t="str">
        <f>IF(AND('Mapa final'!$AL$36="Muy Baja",'Mapa final'!$AN$36="Leve"),CONCATENATE("R2C",'Mapa final'!$U$36),"")</f>
        <v/>
      </c>
      <c r="L55" s="63" t="str">
        <f>IF(AND('Mapa final'!$AL$37="Muy Baja",'Mapa final'!$AN$37="Leve"),CONCATENATE("R2C",'Mapa final'!$U$37),"")</f>
        <v/>
      </c>
      <c r="M55" s="63" t="str">
        <f>IF(AND('Mapa final'!$AL$38="Muy Baja",'Mapa final'!$AN$38="Leve"),CONCATENATE("R2C",'Mapa final'!$U$38),"")</f>
        <v/>
      </c>
      <c r="N55" s="63" t="str">
        <f>IF(AND('Mapa final'!$AL$39="Muy Baja",'Mapa final'!$AN$39="Leve"),CONCATENATE("R2C",'Mapa final'!$U$39),"")</f>
        <v/>
      </c>
      <c r="O55" s="63" t="str">
        <f>IF(AND('Mapa final'!$AL$40="Muy Baja",'Mapa final'!$AN$40="Leve"),CONCATENATE("R2C",'Mapa final'!$U$40),"")</f>
        <v/>
      </c>
      <c r="P55" s="64" t="str">
        <f>IF(AND('Mapa final'!$AL$41="Muy Baja",'Mapa final'!$AN$41="Leve"),CONCATENATE("R2C",'Mapa final'!$U$41),"")</f>
        <v/>
      </c>
      <c r="Q55" s="62" t="str">
        <f>IF(AND('Mapa final'!$AL$36="Muy Baja",'Mapa final'!$AN$36="Menor"),CONCATENATE("R2C",'Mapa final'!$U$36),"")</f>
        <v/>
      </c>
      <c r="R55" s="63" t="str">
        <f>IF(AND('Mapa final'!$AL$37="Muy Baja",'Mapa final'!$AN$37="Menor"),CONCATENATE("R2C",'Mapa final'!$U$37),"")</f>
        <v/>
      </c>
      <c r="S55" s="63" t="str">
        <f>IF(AND('Mapa final'!$AL$38="Muy Baja",'Mapa final'!$AN$38="Menor"),CONCATENATE("R2C",'Mapa final'!$U$38),"")</f>
        <v/>
      </c>
      <c r="T55" s="63" t="str">
        <f>IF(AND('Mapa final'!$AL$39="Muy Baja",'Mapa final'!$AN$39="Menor"),CONCATENATE("R2C",'Mapa final'!$U$39),"")</f>
        <v/>
      </c>
      <c r="U55" s="63" t="str">
        <f>IF(AND('Mapa final'!$AL$40="Muy Baja",'Mapa final'!$AN$40="LMenor"),CONCATENATE("R2C",'Mapa final'!$U$40),"")</f>
        <v/>
      </c>
      <c r="V55" s="64" t="str">
        <f>IF(AND('Mapa final'!$AL$41="Muy Baja",'Mapa final'!$AN$41="Menor"),CONCATENATE("R2C",'Mapa final'!$U$41),"")</f>
        <v/>
      </c>
      <c r="W55" s="53" t="str">
        <f>IF(AND('Mapa final'!$AL$36="Muy Baja",'Mapa final'!$AN$36="Moderado"),CONCATENATE("R2C",'Mapa final'!$U$36),"")</f>
        <v/>
      </c>
      <c r="X55" s="54" t="str">
        <f>IF(AND('Mapa final'!$AL$37="Muy Baja",'Mapa final'!$AN$37="Moderado"),CONCATENATE("R2C",'Mapa final'!$U$37),"")</f>
        <v/>
      </c>
      <c r="Y55" s="54" t="str">
        <f>IF(AND('Mapa final'!$AL$38="Muy Baja",'Mapa final'!$AN$38="Moderado"),CONCATENATE("R2C",'Mapa final'!$U$38),"")</f>
        <v/>
      </c>
      <c r="Z55" s="54" t="str">
        <f>IF(AND('Mapa final'!$AL$39="Muy Baja",'Mapa final'!$AN$39="Moderado"),CONCATENATE("R2C",'Mapa final'!$U$39),"")</f>
        <v/>
      </c>
      <c r="AA55" s="54" t="str">
        <f>IF(AND('Mapa final'!$AL$40="Muy Baja",'Mapa final'!$AN$40="Moderado"),CONCATENATE("R2C",'Mapa final'!$U$40),"")</f>
        <v/>
      </c>
      <c r="AB55" s="55" t="str">
        <f>IF(AND('Mapa final'!$AL$41="Muy Baja",'Mapa final'!$AN$41="Moderado"),CONCATENATE("R2C",'Mapa final'!$U$41),"")</f>
        <v/>
      </c>
      <c r="AC55" s="38" t="str">
        <f>IF(AND('Mapa final'!$AL$36="Muy Baja",'Mapa final'!$AN$36="Mayor"),CONCATENATE("R2C",'Mapa final'!$U$36),"")</f>
        <v/>
      </c>
      <c r="AD55" s="39" t="str">
        <f>IF(AND('Mapa final'!$AL$37="Muy Baja",'Mapa final'!$AN$37="Mayor"),CONCATENATE("R2C",'Mapa final'!$U$37),"")</f>
        <v/>
      </c>
      <c r="AE55" s="39" t="str">
        <f>IF(AND('Mapa final'!$AL$38="Muy Baja",'Mapa final'!$AN$38="Mayor"),CONCATENATE("R2C",'Mapa final'!$U$38),"")</f>
        <v/>
      </c>
      <c r="AF55" s="39" t="str">
        <f>IF(AND('Mapa final'!$AL$39="Muy Baja",'Mapa final'!$AN$39="Mayor"),CONCATENATE("R2C",'Mapa final'!$U$39),"")</f>
        <v/>
      </c>
      <c r="AG55" s="39" t="str">
        <f>IF(AND('Mapa final'!$AL$40="Muy Baja",'Mapa final'!$AN$40="Mayor"),CONCATENATE("R2C",'Mapa final'!$U$40),"")</f>
        <v/>
      </c>
      <c r="AH55" s="40" t="str">
        <f>IF(AND('Mapa final'!$AL$41="Muy Baja",'Mapa final'!$AN$41="Mayor"),CONCATENATE("R2C",'Mapa final'!$U$41),"")</f>
        <v/>
      </c>
      <c r="AI55" s="41" t="str">
        <f>IF(AND('Mapa final'!$AL$36="Muy Baja",'Mapa final'!$AN$36="Catastrófico"),CONCATENATE("R2C",'Mapa final'!$U$36),"")</f>
        <v/>
      </c>
      <c r="AJ55" s="42" t="str">
        <f>IF(AND('Mapa final'!$AL$37="Muy Baja",'Mapa final'!$AN$37="Catastrófico"),CONCATENATE("R2C",'Mapa final'!$U$37),"")</f>
        <v/>
      </c>
      <c r="AK55" s="42" t="str">
        <f>IF(AND('Mapa final'!$AL$38="Muy Baja",'Mapa final'!$AN$38="Catastrófico"),CONCATENATE("R2C",'Mapa final'!$U$38),"")</f>
        <v/>
      </c>
      <c r="AL55" s="42" t="str">
        <f>IF(AND('Mapa final'!$AL$39="Muy Baja",'Mapa final'!$AN$39="Catastrófico"),CONCATENATE("R2C",'Mapa final'!$U$39),"")</f>
        <v/>
      </c>
      <c r="AM55" s="42" t="str">
        <f>IF(AND('Mapa final'!$AL$40="Muy Baja",'Mapa final'!$AN$40="LCatastrófico"),CONCATENATE("R2C",'Mapa final'!$U$40),"")</f>
        <v/>
      </c>
      <c r="AN55" s="43" t="str">
        <f>IF(AND('Mapa final'!$AL$41="Muy Baja",'Mapa final'!$AN$41="Catastrófico"),CONCATENATE("R2C",'Mapa final'!$U$41),"")</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81"/>
      <c r="D56" s="381"/>
      <c r="E56" s="382"/>
      <c r="F56" s="471"/>
      <c r="G56" s="472"/>
      <c r="H56" s="472"/>
      <c r="I56" s="472"/>
      <c r="J56" s="473"/>
      <c r="K56" s="62" t="str">
        <f>IF(AND('Mapa final'!$AL$42="Muy Baja",'Mapa final'!$AN$42="Leve"),CONCATENATE("R2C",'Mapa final'!$U$42),"")</f>
        <v/>
      </c>
      <c r="L56" s="63" t="str">
        <f>IF(AND('Mapa final'!$AL$43="Muy Baja",'Mapa final'!$AN$43="Leve"),CONCATENATE("R2C",'Mapa final'!$U$43),"")</f>
        <v/>
      </c>
      <c r="M56" s="63" t="str">
        <f>IF(AND('Mapa final'!$AL$44="Muy Baja",'Mapa final'!$AN$44="Leve"),CONCATENATE("R2C",'Mapa final'!$U$44),"")</f>
        <v/>
      </c>
      <c r="N56" s="63" t="str">
        <f>IF(AND('Mapa final'!$AL$45="Muy Baja",'Mapa final'!$AN$45="Leve"),CONCATENATE("R2C",'Mapa final'!$U$45),"")</f>
        <v/>
      </c>
      <c r="O56" s="63" t="str">
        <f>IF(AND('Mapa final'!$AL$46="Muy Baja",'Mapa final'!$AN$46="Leve"),CONCATENATE("R2C",'Mapa final'!$U$46),"")</f>
        <v/>
      </c>
      <c r="P56" s="64" t="str">
        <f>IF(AND('Mapa final'!$AL$47="Muy Baja",'Mapa final'!$AN$47="Leve"),CONCATENATE("R2C",'Mapa final'!$U$47),"")</f>
        <v/>
      </c>
      <c r="Q56" s="62" t="str">
        <f>IF(AND('Mapa final'!$AL$42="Muy Baja",'Mapa final'!$AN$42="Menor"),CONCATENATE("R2C",'Mapa final'!$U$42),"")</f>
        <v/>
      </c>
      <c r="R56" s="63" t="str">
        <f>IF(AND('Mapa final'!$AL$43="Muy Baja",'Mapa final'!$AN$43="Menor"),CONCATENATE("R2C",'Mapa final'!$U$43),"")</f>
        <v/>
      </c>
      <c r="S56" s="63" t="str">
        <f>IF(AND('Mapa final'!$AL$44="Muy Baja",'Mapa final'!$AN$44="Menor"),CONCATENATE("R2C",'Mapa final'!$U$44),"")</f>
        <v/>
      </c>
      <c r="T56" s="63" t="str">
        <f>IF(AND('Mapa final'!$AL$45="Muy Baja",'Mapa final'!$AN$45="Menor"),CONCATENATE("R2C",'Mapa final'!$U$45),"")</f>
        <v/>
      </c>
      <c r="U56" s="63" t="str">
        <f>IF(AND('Mapa final'!$AL$46="Muy Baja",'Mapa final'!$AN$46="Menor"),CONCATENATE("R2C",'Mapa final'!$U$46),"")</f>
        <v/>
      </c>
      <c r="V56" s="64" t="str">
        <f>IF(AND('Mapa final'!$AL$47="Muy Baja",'Mapa final'!$AN$47="Menor"),CONCATENATE("R2C",'Mapa final'!$U$47),"")</f>
        <v/>
      </c>
      <c r="W56" s="53" t="str">
        <f>IF(AND('Mapa final'!$AL$42="Muy Baja",'Mapa final'!$AN$42="Moderado"),CONCATENATE("R2C",'Mapa final'!$U$42),"")</f>
        <v/>
      </c>
      <c r="X56" s="54" t="str">
        <f>IF(AND('Mapa final'!$AL$43="Muy Baja",'Mapa final'!$AN$43="Moderado"),CONCATENATE("R2C",'Mapa final'!$U$43),"")</f>
        <v/>
      </c>
      <c r="Y56" s="54" t="str">
        <f>IF(AND('Mapa final'!$AL$44="Muy Baja",'Mapa final'!$AN$44="Moderado"),CONCATENATE("R2C",'Mapa final'!$U$44),"")</f>
        <v/>
      </c>
      <c r="Z56" s="54" t="str">
        <f>IF(AND('Mapa final'!$AL$45="Muy Baja",'Mapa final'!$AN$45="Moderado"),CONCATENATE("R2C",'Mapa final'!$U$45),"")</f>
        <v/>
      </c>
      <c r="AA56" s="54" t="str">
        <f>IF(AND('Mapa final'!$AL$46="Muy Baja",'Mapa final'!$AN$46="Moderado"),CONCATENATE("R2C",'Mapa final'!$U$46),"")</f>
        <v/>
      </c>
      <c r="AB56" s="55" t="str">
        <f>IF(AND('Mapa final'!$AL$47="Muy Baja",'Mapa final'!$AN$47="Moderado"),CONCATENATE("R2C",'Mapa final'!$U$47),"")</f>
        <v/>
      </c>
      <c r="AC56" s="38" t="str">
        <f>IF(AND('Mapa final'!$AL$42="Muy Baja",'Mapa final'!$AN$42="Mayor"),CONCATENATE("R2C",'Mapa final'!$U$42),"")</f>
        <v/>
      </c>
      <c r="AD56" s="39" t="str">
        <f>IF(AND('Mapa final'!$AL$43="Muy Baja",'Mapa final'!$AN$43="Mayor"),CONCATENATE("R2C",'Mapa final'!$U$43),"")</f>
        <v/>
      </c>
      <c r="AE56" s="39" t="str">
        <f>IF(AND('Mapa final'!$AL$44="Muy Baja",'Mapa final'!$AN$44="Mayor"),CONCATENATE("R2C",'Mapa final'!$U$44),"")</f>
        <v/>
      </c>
      <c r="AF56" s="39" t="str">
        <f>IF(AND('Mapa final'!$AL$45="Muy Baja",'Mapa final'!$AN$45="Mayor"),CONCATENATE("R2C",'Mapa final'!$U$45),"")</f>
        <v/>
      </c>
      <c r="AG56" s="39" t="str">
        <f>IF(AND('Mapa final'!$AL$46="Muy Baja",'Mapa final'!$AN$46="Mayor"),CONCATENATE("R2C",'Mapa final'!$U$46),"")</f>
        <v/>
      </c>
      <c r="AH56" s="40" t="str">
        <f>IF(AND('Mapa final'!$AL$47="Muy Baja",'Mapa final'!$AN$47="Mayor"),CONCATENATE("R2C",'Mapa final'!$U$47),"")</f>
        <v/>
      </c>
      <c r="AI56" s="41" t="str">
        <f>IF(AND('Mapa final'!$AL$42="Muy Baja",'Mapa final'!$AN$42="Catastrófico"),CONCATENATE("R2C",'Mapa final'!$U$42),"")</f>
        <v/>
      </c>
      <c r="AJ56" s="42" t="str">
        <f>IF(AND('Mapa final'!$AL$43="Muy Baja",'Mapa final'!$AN$43="Catastrófico"),CONCATENATE("R2C",'Mapa final'!$U$43),"")</f>
        <v/>
      </c>
      <c r="AK56" s="42" t="str">
        <f>IF(AND('Mapa final'!$AL$44="Muy Baja",'Mapa final'!$AN$44="Catastrófico"),CONCATENATE("R2C",'Mapa final'!$U$44),"")</f>
        <v/>
      </c>
      <c r="AL56" s="42" t="str">
        <f>IF(AND('Mapa final'!$AL$45="Muy Baja",'Mapa final'!$AN$45="Catastrófico"),CONCATENATE("R2C",'Mapa final'!$U$45),"")</f>
        <v/>
      </c>
      <c r="AM56" s="42" t="str">
        <f>IF(AND('Mapa final'!$AL$46="Muy Baja",'Mapa final'!$AN$46="Catastrófico"),CONCATENATE("R2C",'Mapa final'!$U$46),"")</f>
        <v/>
      </c>
      <c r="AN56" s="43" t="str">
        <f>IF(AND('Mapa final'!$AL$47="Muy Baja",'Mapa final'!$AN$47="Catastrófico"),CONCATENATE("R2C",'Mapa final'!$U$47),"")</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81"/>
      <c r="D57" s="381"/>
      <c r="E57" s="382"/>
      <c r="F57" s="471"/>
      <c r="G57" s="472"/>
      <c r="H57" s="472"/>
      <c r="I57" s="472"/>
      <c r="J57" s="473"/>
      <c r="K57" s="62" t="str">
        <f>IF(AND('Mapa final'!$AL$48="Muy Baja",'Mapa final'!$AN$48="Leve"),CONCATENATE("R2C",'Mapa final'!$U$48),"")</f>
        <v/>
      </c>
      <c r="L57" s="63" t="str">
        <f>IF(AND('Mapa final'!$AL$49="Muy Baja",'Mapa final'!$AN$49="Leve"),CONCATENATE("R2C",'Mapa final'!$U$49),"")</f>
        <v/>
      </c>
      <c r="M57" s="63" t="str">
        <f>IF(AND('Mapa final'!$AL$50="Muy Baja",'Mapa final'!$AN$50="Leve"),CONCATENATE("R2C",'Mapa final'!$U$50),"")</f>
        <v/>
      </c>
      <c r="N57" s="63" t="str">
        <f>IF(AND('Mapa final'!$AL$51="Muy Baja",'Mapa final'!$AN$51="Leve"),CONCATENATE("R2C",'Mapa final'!$U$51),"")</f>
        <v/>
      </c>
      <c r="O57" s="63" t="str">
        <f>IF(AND('Mapa final'!$AL$52="Muy Baja",'Mapa final'!$AN$52="Leve"),CONCATENATE("R2C",'Mapa final'!$U$52),"")</f>
        <v/>
      </c>
      <c r="P57" s="64" t="str">
        <f>IF(AND('Mapa final'!$AL$63="Muy Baja",'Mapa final'!$AN$53="Leve"),CONCATENATE("R2C",'Mapa final'!$U$53),"")</f>
        <v/>
      </c>
      <c r="Q57" s="62" t="str">
        <f>IF(AND('Mapa final'!$AL$48="Muy Baja",'Mapa final'!$AN$48="Menor"),CONCATENATE("R2C",'Mapa final'!$U$48),"")</f>
        <v/>
      </c>
      <c r="R57" s="63" t="str">
        <f>IF(AND('Mapa final'!$AL$49="Muy Baja",'Mapa final'!$AN$49="Menor"),CONCATENATE("R2C",'Mapa final'!$U$49),"")</f>
        <v/>
      </c>
      <c r="S57" s="63" t="str">
        <f>IF(AND('Mapa final'!$AL$50="Muy Baja",'Mapa final'!$AN$50="Menor"),CONCATENATE("R2C",'Mapa final'!$U$50),"")</f>
        <v/>
      </c>
      <c r="T57" s="63" t="str">
        <f>IF(AND('Mapa final'!$AL$51="Muy Baja",'Mapa final'!$AN$51="Menor"),CONCATENATE("R2C",'Mapa final'!$U$51),"")</f>
        <v/>
      </c>
      <c r="U57" s="63" t="str">
        <f>IF(AND('Mapa final'!$AL$52="Muy Baja",'Mapa final'!$AN$52="Menor"),CONCATENATE("R2C",'Mapa final'!$U$52),"")</f>
        <v/>
      </c>
      <c r="V57" s="64" t="str">
        <f>IF(AND('Mapa final'!$AL$63="Muy Baja",'Mapa final'!$AN$53="Menor"),CONCATENATE("R2C",'Mapa final'!$U$53),"")</f>
        <v/>
      </c>
      <c r="W57" s="53" t="str">
        <f>IF(AND('Mapa final'!$AL$48="Muy Baja",'Mapa final'!$AN$48="Moderado"),CONCATENATE("R2C",'Mapa final'!$U$48),"")</f>
        <v/>
      </c>
      <c r="X57" s="54" t="str">
        <f>IF(AND('Mapa final'!$AL$49="Muy Baja",'Mapa final'!$AN$49="Moderado"),CONCATENATE("R2C",'Mapa final'!$U$49),"")</f>
        <v/>
      </c>
      <c r="Y57" s="54" t="str">
        <f>IF(AND('Mapa final'!$AL$50="Muy Baja",'Mapa final'!$AN$50="Moderado"),CONCATENATE("R2C",'Mapa final'!$U$50),"")</f>
        <v/>
      </c>
      <c r="Z57" s="54" t="str">
        <f>IF(AND('Mapa final'!$AL$51="Muy Baja",'Mapa final'!$AN$51="Moderado"),CONCATENATE("R2C",'Mapa final'!$U$51),"")</f>
        <v/>
      </c>
      <c r="AA57" s="54" t="str">
        <f>IF(AND('Mapa final'!$AL$52="Muy Baja",'Mapa final'!$AN$52="Moderado"),CONCATENATE("R2C",'Mapa final'!$U$52),"")</f>
        <v/>
      </c>
      <c r="AB57" s="55" t="str">
        <f>IF(AND('Mapa final'!$AL$63="Muy Baja",'Mapa final'!$AN$53="Moderado"),CONCATENATE("R2C",'Mapa final'!$U$53),"")</f>
        <v/>
      </c>
      <c r="AC57" s="38" t="str">
        <f>IF(AND('Mapa final'!$AL$48="Muy Baja",'Mapa final'!$AN$48="Mayor"),CONCATENATE("R2C",'Mapa final'!$U$48),"")</f>
        <v/>
      </c>
      <c r="AD57" s="39" t="str">
        <f>IF(AND('Mapa final'!$AL$49="Muy Baja",'Mapa final'!$AN$49="Mayor"),CONCATENATE("R2C",'Mapa final'!$U$49),"")</f>
        <v/>
      </c>
      <c r="AE57" s="39" t="str">
        <f>IF(AND('Mapa final'!$AL$50="Muy Baja",'Mapa final'!$AN$50="Mayor"),CONCATENATE("R2C",'Mapa final'!$U$50),"")</f>
        <v/>
      </c>
      <c r="AF57" s="39" t="str">
        <f>IF(AND('Mapa final'!$AL$51="Muy Baja",'Mapa final'!$AN$51="Mayor"),CONCATENATE("R2C",'Mapa final'!$U$51),"")</f>
        <v/>
      </c>
      <c r="AG57" s="39" t="str">
        <f>IF(AND('Mapa final'!$AL$52="Muy Baja",'Mapa final'!$AN$52="Mayor"),CONCATENATE("R2C",'Mapa final'!$U$52),"")</f>
        <v/>
      </c>
      <c r="AH57" s="40" t="str">
        <f>IF(AND('Mapa final'!$AL$63="Muy Baja",'Mapa final'!$AN$53="Mayor"),CONCATENATE("R2C",'Mapa final'!$U$53),"")</f>
        <v/>
      </c>
      <c r="AI57" s="41" t="str">
        <f>IF(AND('Mapa final'!$AL$48="Muy Baja",'Mapa final'!$AN$48="Catastrófico"),CONCATENATE("R2C",'Mapa final'!$U$48),"")</f>
        <v/>
      </c>
      <c r="AJ57" s="42" t="str">
        <f>IF(AND('Mapa final'!$AL$49="Muy Baja",'Mapa final'!$AN$49="Catastrófico"),CONCATENATE("R2C",'Mapa final'!$U$49),"")</f>
        <v/>
      </c>
      <c r="AK57" s="42" t="str">
        <f>IF(AND('Mapa final'!$AL$50="Muy Baja",'Mapa final'!$AN$50="Catastrófico"),CONCATENATE("R2C",'Mapa final'!$U$50),"")</f>
        <v/>
      </c>
      <c r="AL57" s="42" t="str">
        <f>IF(AND('Mapa final'!$AL$51="Muy Baja",'Mapa final'!$AN$51="Catastrófico"),CONCATENATE("R2C",'Mapa final'!$U$51),"")</f>
        <v/>
      </c>
      <c r="AM57" s="42" t="str">
        <f>IF(AND('Mapa final'!$AL$52="Muy Baja",'Mapa final'!$AN$52="Catastrófico"),CONCATENATE("R2C",'Mapa final'!$U$52),"")</f>
        <v/>
      </c>
      <c r="AN57" s="43" t="str">
        <f>IF(AND('Mapa final'!$AL$63="Muy Baja",'Mapa final'!$AN$53="Catastrófico"),CONCATENATE("R2C",'Mapa final'!$U$53),"")</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81"/>
      <c r="D58" s="381"/>
      <c r="E58" s="382"/>
      <c r="F58" s="471"/>
      <c r="G58" s="472"/>
      <c r="H58" s="472"/>
      <c r="I58" s="472"/>
      <c r="J58" s="473"/>
      <c r="K58" s="62" t="str">
        <f>IF(AND('Mapa final'!$AL$54="Muy Baja",'Mapa final'!$AN$54="Leve"),CONCATENATE("R2C",'Mapa final'!$U$54),"")</f>
        <v/>
      </c>
      <c r="L58" s="63" t="str">
        <f>IF(AND('Mapa final'!$AL$55="Muy Baja",'Mapa final'!$AN$55="Leve"),CONCATENATE("R2C",'Mapa final'!$U$55),"")</f>
        <v/>
      </c>
      <c r="M58" s="63" t="str">
        <f>IF(AND('Mapa final'!$AL$56="Muy Baja",'Mapa final'!$AN$56="Leve"),CONCATENATE("R2C",'Mapa final'!$U$56),"")</f>
        <v/>
      </c>
      <c r="N58" s="63" t="str">
        <f>IF(AND('Mapa final'!$AL$57="Muy Baja",'Mapa final'!$AN$57="Leve"),CONCATENATE("R2C",'Mapa final'!$U$57),"")</f>
        <v/>
      </c>
      <c r="O58" s="63" t="str">
        <f>IF(AND('Mapa final'!$AL$58="Muy Baja",'Mapa final'!$AN$58="Leve"),CONCATENATE("R2C",'Mapa final'!$U$58),"")</f>
        <v/>
      </c>
      <c r="P58" s="64" t="str">
        <f>IF(AND('Mapa final'!$AL$59="Muy Baja",'Mapa final'!$AN$59="Leve"),CONCATENATE("R2C",'Mapa final'!$U$59),"")</f>
        <v/>
      </c>
      <c r="Q58" s="62" t="str">
        <f>IF(AND('Mapa final'!$AL$54="Muy Baja",'Mapa final'!$AN$54="Menor"),CONCATENATE("R2C",'Mapa final'!$U$54),"")</f>
        <v/>
      </c>
      <c r="R58" s="63" t="str">
        <f>IF(AND('Mapa final'!$AL$55="Muy Baja",'Mapa final'!$AN$55="Menor"),CONCATENATE("R2C",'Mapa final'!$U$55),"")</f>
        <v/>
      </c>
      <c r="S58" s="63" t="str">
        <f>IF(AND('Mapa final'!$AL$56="Muy Baja",'Mapa final'!$AN$56="Menor"),CONCATENATE("R2C",'Mapa final'!$U$56),"")</f>
        <v/>
      </c>
      <c r="T58" s="63" t="str">
        <f>IF(AND('Mapa final'!$AL$57="Muy Baja",'Mapa final'!$AN$57="Menor"),CONCATENATE("R2C",'Mapa final'!$U$57),"")</f>
        <v/>
      </c>
      <c r="U58" s="63" t="str">
        <f>IF(AND('Mapa final'!$AL$58="Muy Baja",'Mapa final'!$AN$58="Menor"),CONCATENATE("R2C",'Mapa final'!$U$58),"")</f>
        <v/>
      </c>
      <c r="V58" s="64" t="str">
        <f>IF(AND('Mapa final'!$AL$59="Muy Baja",'Mapa final'!$AN$59="Menor"),CONCATENATE("R2C",'Mapa final'!$U$59),"")</f>
        <v/>
      </c>
      <c r="W58" s="53" t="str">
        <f>IF(AND('Mapa final'!$AL$54="Muy Baja",'Mapa final'!$AN$54="Moderado"),CONCATENATE("R2C",'Mapa final'!$U$54),"")</f>
        <v/>
      </c>
      <c r="X58" s="54" t="str">
        <f>IF(AND('Mapa final'!$AL$55="Muy Baja",'Mapa final'!$AN$55="Moderado"),CONCATENATE("R2C",'Mapa final'!$U$55),"")</f>
        <v/>
      </c>
      <c r="Y58" s="54" t="str">
        <f>IF(AND('Mapa final'!$AL$56="Muy Baja",'Mapa final'!$AN$56="Moderado"),CONCATENATE("R2C",'Mapa final'!$U$56),"")</f>
        <v/>
      </c>
      <c r="Z58" s="54" t="str">
        <f>IF(AND('Mapa final'!$AL$57="Muy Baja",'Mapa final'!$AN$57="Moderado"),CONCATENATE("R2C",'Mapa final'!$U$57),"")</f>
        <v/>
      </c>
      <c r="AA58" s="54" t="str">
        <f>IF(AND('Mapa final'!$AL$58="Muy Baja",'Mapa final'!$AN$58="Moderado"),CONCATENATE("R2C",'Mapa final'!$U$58),"")</f>
        <v/>
      </c>
      <c r="AB58" s="55" t="str">
        <f>IF(AND('Mapa final'!$AL$59="Muy Baja",'Mapa final'!$AN$59="Moderado"),CONCATENATE("R2C",'Mapa final'!$U$59),"")</f>
        <v/>
      </c>
      <c r="AC58" s="38" t="str">
        <f>IF(AND('Mapa final'!$AL$54="Muy Baja",'Mapa final'!$AN$54="Mayor"),CONCATENATE("R2C",'Mapa final'!$U$54),"")</f>
        <v/>
      </c>
      <c r="AD58" s="39" t="str">
        <f>IF(AND('Mapa final'!$AL$55="Muy Baja",'Mapa final'!$AN$55="Mayor"),CONCATENATE("R2C",'Mapa final'!$U$55),"")</f>
        <v/>
      </c>
      <c r="AE58" s="39" t="str">
        <f>IF(AND('Mapa final'!$AL$56="Muy Baja",'Mapa final'!$AN$56="Mayor"),CONCATENATE("R2C",'Mapa final'!$U$56),"")</f>
        <v/>
      </c>
      <c r="AF58" s="39" t="str">
        <f>IF(AND('Mapa final'!$AL$57="Muy Baja",'Mapa final'!$AN$57="Mayor"),CONCATENATE("R2C",'Mapa final'!$U$57),"")</f>
        <v/>
      </c>
      <c r="AG58" s="39" t="str">
        <f>IF(AND('Mapa final'!$AL$58="Muy Baja",'Mapa final'!$AN$58="Mayor"),CONCATENATE("R2C",'Mapa final'!$U$58),"")</f>
        <v/>
      </c>
      <c r="AH58" s="40" t="str">
        <f>IF(AND('Mapa final'!$AL$59="Muy Baja",'Mapa final'!$AN$59="Mayor"),CONCATENATE("R2C",'Mapa final'!$U$59),"")</f>
        <v/>
      </c>
      <c r="AI58" s="41" t="str">
        <f>IF(AND('Mapa final'!$AL$54="Muy Baja",'Mapa final'!$AN$54="Catastrófico"),CONCATENATE("R2C",'Mapa final'!$U$54),"")</f>
        <v/>
      </c>
      <c r="AJ58" s="42" t="str">
        <f>IF(AND('Mapa final'!$AL$55="Muy Baja",'Mapa final'!$AN$55="Catastrófico"),CONCATENATE("R2C",'Mapa final'!$U$55),"")</f>
        <v/>
      </c>
      <c r="AK58" s="42" t="str">
        <f>IF(AND('Mapa final'!$AL$56="Muy Baja",'Mapa final'!$AN$56="Catastrófico"),CONCATENATE("R2C",'Mapa final'!$U$56),"")</f>
        <v/>
      </c>
      <c r="AL58" s="42" t="str">
        <f>IF(AND('Mapa final'!$AL$57="Muy Baja",'Mapa final'!$AN$57="Catastrófico"),CONCATENATE("R2C",'Mapa final'!$U$57),"")</f>
        <v/>
      </c>
      <c r="AM58" s="42" t="str">
        <f>IF(AND('Mapa final'!$AL$58="Muy Baja",'Mapa final'!$AN$58="Catastrófico"),CONCATENATE("R2C",'Mapa final'!$U$58),"")</f>
        <v/>
      </c>
      <c r="AN58" s="43" t="str">
        <f>IF(AND('Mapa final'!$AL$59="Muy Baja",'Mapa final'!$AN$59="Catastrófico"),CONCATENATE("R2C",'Mapa final'!$U$59),"")</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81"/>
      <c r="D59" s="381"/>
      <c r="E59" s="382"/>
      <c r="F59" s="471"/>
      <c r="G59" s="472"/>
      <c r="H59" s="472"/>
      <c r="I59" s="472"/>
      <c r="J59" s="473"/>
      <c r="K59" s="62" t="str">
        <f>IF(AND('Mapa final'!$AL$60="Muy Baja",'Mapa final'!$AN$60="Leve"),CONCATENATE("R2C",'Mapa final'!$U$60),"")</f>
        <v/>
      </c>
      <c r="L59" s="63" t="str">
        <f>IF(AND('Mapa final'!$AL$61="Muy Baja",'Mapa final'!$AN$61="Leve"),CONCATENATE("R2C",'Mapa final'!$U$61),"")</f>
        <v/>
      </c>
      <c r="M59" s="63" t="str">
        <f>IF(AND('Mapa final'!$AL$62="Muy Baja",'Mapa final'!$AN$62="Leve"),CONCATENATE("R2C",'Mapa final'!$U$62),"")</f>
        <v/>
      </c>
      <c r="N59" s="63" t="str">
        <f>IF(AND('Mapa final'!$AL$63="Muy Baja",'Mapa final'!$AN$63="Leve"),CONCATENATE("R2C",'Mapa final'!$U$63),"")</f>
        <v/>
      </c>
      <c r="O59" s="63" t="str">
        <f>IF(AND('Mapa final'!$AL$64="Muy Baja",'Mapa final'!$AN$64="Leve"),CONCATENATE("R2C",'Mapa final'!$U$64),"")</f>
        <v/>
      </c>
      <c r="P59" s="64" t="str">
        <f>IF(AND('Mapa final'!$AL$65="Muy Baja",'Mapa final'!$AN$65="Leve"),CONCATENATE("R2C",'Mapa final'!$U$65),"")</f>
        <v/>
      </c>
      <c r="Q59" s="62" t="str">
        <f>IF(AND('Mapa final'!$AL$60="Muy Baja",'Mapa final'!$AN$60="Menor"),CONCATENATE("R2C",'Mapa final'!$U$60),"")</f>
        <v/>
      </c>
      <c r="R59" s="63" t="str">
        <f>IF(AND('Mapa final'!$AL$61="Muy Baja",'Mapa final'!$AN$61="Menor"),CONCATENATE("R2C",'Mapa final'!$U$61),"")</f>
        <v/>
      </c>
      <c r="S59" s="63" t="str">
        <f>IF(AND('Mapa final'!$AL$62="Muy Baja",'Mapa final'!$AN$62="Menor"),CONCATENATE("R2C",'Mapa final'!$U$62),"")</f>
        <v/>
      </c>
      <c r="T59" s="63" t="str">
        <f>IF(AND('Mapa final'!$AL$63="Muy Baja",'Mapa final'!$AN$63="Menor"),CONCATENATE("R2C",'Mapa final'!$U$63),"")</f>
        <v/>
      </c>
      <c r="U59" s="63" t="str">
        <f>IF(AND('Mapa final'!$AL$64="Muy Baja",'Mapa final'!$AN$64="Menor"),CONCATENATE("R2C",'Mapa final'!$U$64),"")</f>
        <v/>
      </c>
      <c r="V59" s="64" t="str">
        <f>IF(AND('Mapa final'!$AL$65="Muy Baja",'Mapa final'!$AN$65="Menor"),CONCATENATE("R2C",'Mapa final'!$U$65),"")</f>
        <v/>
      </c>
      <c r="W59" s="53" t="str">
        <f>IF(AND('Mapa final'!$AL$60="Muy Baja",'Mapa final'!$AN$60="Moderado"),CONCATENATE("R2C",'Mapa final'!$U$60),"")</f>
        <v/>
      </c>
      <c r="X59" s="54" t="str">
        <f>IF(AND('Mapa final'!$AL$61="Muy Baja",'Mapa final'!$AN$61="Moderado"),CONCATENATE("R2C",'Mapa final'!$U$61),"")</f>
        <v/>
      </c>
      <c r="Y59" s="54" t="str">
        <f>IF(AND('Mapa final'!$AL$62="Muy Baja",'Mapa final'!$AN$62="Moderado"),CONCATENATE("R2C",'Mapa final'!$U$62),"")</f>
        <v/>
      </c>
      <c r="Z59" s="54" t="str">
        <f>IF(AND('Mapa final'!$AL$63="Muy Baja",'Mapa final'!$AN$63="Moderado"),CONCATENATE("R2C",'Mapa final'!$U$63),"")</f>
        <v/>
      </c>
      <c r="AA59" s="54" t="str">
        <f>IF(AND('Mapa final'!$AL$64="Muy Baja",'Mapa final'!$AN$64="Moderado"),CONCATENATE("R2C",'Mapa final'!$U$64),"")</f>
        <v/>
      </c>
      <c r="AB59" s="55" t="str">
        <f>IF(AND('Mapa final'!$AL$65="Muy Baja",'Mapa final'!$AN$65="Moderado"),CONCATENATE("R2C",'Mapa final'!$U$65),"")</f>
        <v/>
      </c>
      <c r="AC59" s="38" t="str">
        <f>IF(AND('Mapa final'!$AL$60="Muy Baja",'Mapa final'!$AN$60="Mayor"),CONCATENATE("R2C",'Mapa final'!$U$60),"")</f>
        <v/>
      </c>
      <c r="AD59" s="39" t="str">
        <f>IF(AND('Mapa final'!$AL$61="Muy Baja",'Mapa final'!$AN$61="Mayor"),CONCATENATE("R2C",'Mapa final'!$U$61),"")</f>
        <v/>
      </c>
      <c r="AE59" s="39" t="str">
        <f>IF(AND('Mapa final'!$AL$62="Muy Baja",'Mapa final'!$AN$62="Mayor"),CONCATENATE("R2C",'Mapa final'!$U$62),"")</f>
        <v/>
      </c>
      <c r="AF59" s="39" t="str">
        <f>IF(AND('Mapa final'!$AL$63="Muy Baja",'Mapa final'!$AN$63="Mayor"),CONCATENATE("R2C",'Mapa final'!$U$63),"")</f>
        <v/>
      </c>
      <c r="AG59" s="39" t="str">
        <f>IF(AND('Mapa final'!$AL$64="Muy Baja",'Mapa final'!$AN$64="Mayor"),CONCATENATE("R2C",'Mapa final'!$U$64),"")</f>
        <v/>
      </c>
      <c r="AH59" s="40" t="str">
        <f>IF(AND('Mapa final'!$AL$65="Muy Baja",'Mapa final'!$AN$65="Mayor"),CONCATENATE("R2C",'Mapa final'!$U$65),"")</f>
        <v/>
      </c>
      <c r="AI59" s="41" t="str">
        <f>IF(AND('Mapa final'!$AL$60="Muy Baja",'Mapa final'!$AN$60="Catastrófico"),CONCATENATE("R2C",'Mapa final'!$U$60),"")</f>
        <v/>
      </c>
      <c r="AJ59" s="42" t="str">
        <f>IF(AND('Mapa final'!$AL$61="Muy Baja",'Mapa final'!$AN$61="Catastrófico"),CONCATENATE("R2C",'Mapa final'!$U$61),"")</f>
        <v/>
      </c>
      <c r="AK59" s="42" t="str">
        <f>IF(AND('Mapa final'!$AL$62="Muy Baja",'Mapa final'!$AN$62="Catastrófico"),CONCATENATE("R2C",'Mapa final'!$U$62),"")</f>
        <v/>
      </c>
      <c r="AL59" s="42" t="str">
        <f>IF(AND('Mapa final'!$AL$63="Muy Baja",'Mapa final'!$AN$63="Catastrófico"),CONCATENATE("R2C",'Mapa final'!$U$63),"")</f>
        <v/>
      </c>
      <c r="AM59" s="42" t="str">
        <f>IF(AND('Mapa final'!$AL$64="Muy Baja",'Mapa final'!$AN$64="Catastrófico"),CONCATENATE("R2C",'Mapa final'!$U$64),"")</f>
        <v/>
      </c>
      <c r="AN59" s="43" t="str">
        <f>IF(AND('Mapa final'!$AL$65="Muy Baja",'Mapa final'!$AN$65="Catastrófico"),CONCATENATE("R2C",'Mapa final'!$U$65),"")</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81"/>
      <c r="D60" s="381"/>
      <c r="E60" s="382"/>
      <c r="F60" s="471"/>
      <c r="G60" s="472"/>
      <c r="H60" s="472"/>
      <c r="I60" s="472"/>
      <c r="J60" s="473"/>
      <c r="K60" s="62" t="str">
        <f>IF(AND('Mapa final'!$AL$66="Muy Baja",'Mapa final'!$AN$66="Leve"),CONCATENATE("R2C",'Mapa final'!$U$66),"")</f>
        <v/>
      </c>
      <c r="L60" s="63" t="str">
        <f>IF(AND('Mapa final'!$AL$67="Muy Baja",'Mapa final'!$AN$67="Leve"),CONCATENATE("R2C",'Mapa final'!$U$67),"")</f>
        <v/>
      </c>
      <c r="M60" s="63" t="str">
        <f>IF(AND('Mapa final'!$AL$68="Muy Baja",'Mapa final'!$AN$68="Leve"),CONCATENATE("R2C",'Mapa final'!$U$68),"")</f>
        <v/>
      </c>
      <c r="N60" s="63" t="str">
        <f>IF(AND('Mapa final'!$AL$69="Muy Baja",'Mapa final'!$AN$69="Leve"),CONCATENATE("R2C",'Mapa final'!$U$69),"")</f>
        <v/>
      </c>
      <c r="O60" s="63" t="str">
        <f>IF(AND('Mapa final'!$AL$70="Muy Baja",'Mapa final'!$AN$70="Leve"),CONCATENATE("R2C",'Mapa final'!$U$70),"")</f>
        <v/>
      </c>
      <c r="P60" s="64" t="str">
        <f>IF(AND('Mapa final'!$AL$71="Muy Baja",'Mapa final'!$AN$71="Leve"),CONCATENATE("R2C",'Mapa final'!$U$71),"")</f>
        <v/>
      </c>
      <c r="Q60" s="62" t="str">
        <f>IF(AND('Mapa final'!$AL$66="Muy Baja",'Mapa final'!$AN$66="Menor"),CONCATENATE("R2C",'Mapa final'!$U$66),"")</f>
        <v/>
      </c>
      <c r="R60" s="63" t="str">
        <f>IF(AND('Mapa final'!$AL$67="Muy Baja",'Mapa final'!$AN$67="Menor"),CONCATENATE("R2C",'Mapa final'!$U$67),"")</f>
        <v/>
      </c>
      <c r="S60" s="63" t="str">
        <f>IF(AND('Mapa final'!$AL$68="Muy Baja",'Mapa final'!$AN$68="Menor"),CONCATENATE("R2C",'Mapa final'!$U$68),"")</f>
        <v/>
      </c>
      <c r="T60" s="63" t="str">
        <f>IF(AND('Mapa final'!$AL$69="Muy Baja",'Mapa final'!$AN$69="Menor"),CONCATENATE("R2C",'Mapa final'!$U$69),"")</f>
        <v/>
      </c>
      <c r="U60" s="63" t="str">
        <f>IF(AND('Mapa final'!$AL$70="Muy Baja",'Mapa final'!$AN$70="Menor"),CONCATENATE("R2C",'Mapa final'!$U$70),"")</f>
        <v/>
      </c>
      <c r="V60" s="64" t="str">
        <f>IF(AND('Mapa final'!$AL$71="Muy Baja",'Mapa final'!$AN$71="Menor"),CONCATENATE("R2C",'Mapa final'!$U$71),"")</f>
        <v/>
      </c>
      <c r="W60" s="53" t="str">
        <f>IF(AND('Mapa final'!$AL$66="Muy Baja",'Mapa final'!$AN$66="Moderado"),CONCATENATE("R2C",'Mapa final'!$U$66),"")</f>
        <v/>
      </c>
      <c r="X60" s="54" t="str">
        <f>IF(AND('Mapa final'!$AL$67="Muy Baja",'Mapa final'!$AN$67="Moderado"),CONCATENATE("R2C",'Mapa final'!$U$67),"")</f>
        <v/>
      </c>
      <c r="Y60" s="54" t="str">
        <f>IF(AND('Mapa final'!$AL$68="Muy Baja",'Mapa final'!$AN$68="Moderado"),CONCATENATE("R2C",'Mapa final'!$U$68),"")</f>
        <v/>
      </c>
      <c r="Z60" s="54" t="str">
        <f>IF(AND('Mapa final'!$AL$69="Muy Baja",'Mapa final'!$AN$69="Moderado"),CONCATENATE("R2C",'Mapa final'!$U$69),"")</f>
        <v/>
      </c>
      <c r="AA60" s="54" t="str">
        <f>IF(AND('Mapa final'!$AL$70="Muy Baja",'Mapa final'!$AN$70="Moderado"),CONCATENATE("R2C",'Mapa final'!$U$70),"")</f>
        <v/>
      </c>
      <c r="AB60" s="55" t="str">
        <f>IF(AND('Mapa final'!$AL$71="Muy Baja",'Mapa final'!$AN$71="Moderado"),CONCATENATE("R2C",'Mapa final'!$U$71),"")</f>
        <v/>
      </c>
      <c r="AC60" s="38" t="str">
        <f>IF(AND('Mapa final'!$AL$66="Muy Baja",'Mapa final'!$AN$66="Mayor"),CONCATENATE("R2C",'Mapa final'!$U$66),"")</f>
        <v/>
      </c>
      <c r="AD60" s="39" t="str">
        <f>IF(AND('Mapa final'!$AL$67="Muy Baja",'Mapa final'!$AN$67="Mayor"),CONCATENATE("R2C",'Mapa final'!$U$67),"")</f>
        <v/>
      </c>
      <c r="AE60" s="39" t="str">
        <f>IF(AND('Mapa final'!$AL$68="Muy Baja",'Mapa final'!$AN$68="Mayor"),CONCATENATE("R2C",'Mapa final'!$U$68),"")</f>
        <v/>
      </c>
      <c r="AF60" s="39" t="str">
        <f>IF(AND('Mapa final'!$AL$69="Muy Baja",'Mapa final'!$AN$69="Mayor"),CONCATENATE("R2C",'Mapa final'!$U$69),"")</f>
        <v/>
      </c>
      <c r="AG60" s="39" t="str">
        <f>IF(AND('Mapa final'!$AL$70="Muy Baja",'Mapa final'!$AN$70="Mayor"),CONCATENATE("R2C",'Mapa final'!$U$70),"")</f>
        <v/>
      </c>
      <c r="AH60" s="40" t="str">
        <f>IF(AND('Mapa final'!$AL$71="Muy Baja",'Mapa final'!$AN$71="Mayor"),CONCATENATE("R2C",'Mapa final'!$U$71),"")</f>
        <v/>
      </c>
      <c r="AI60" s="41" t="str">
        <f>IF(AND('Mapa final'!$AL$66="Muy Baja",'Mapa final'!$AN$66="Catastrófico"),CONCATENATE("R2C",'Mapa final'!$U$66),"")</f>
        <v/>
      </c>
      <c r="AJ60" s="42" t="str">
        <f>IF(AND('Mapa final'!$AL$67="Muy Baja",'Mapa final'!$AN$67="Catastrófico"),CONCATENATE("R2C",'Mapa final'!$U$67),"")</f>
        <v/>
      </c>
      <c r="AK60" s="42" t="str">
        <f>IF(AND('Mapa final'!$AL$68="Muy Baja",'Mapa final'!$AN$68="Catastrófico"),CONCATENATE("R2C",'Mapa final'!$U$68),"")</f>
        <v/>
      </c>
      <c r="AL60" s="42" t="str">
        <f>IF(AND('Mapa final'!$AL$69="Muy Baja",'Mapa final'!$AN$69="Catastrófico"),CONCATENATE("R2C",'Mapa final'!$U$69),"")</f>
        <v/>
      </c>
      <c r="AM60" s="42" t="str">
        <f>IF(AND('Mapa final'!$AL$70="Muy Baja",'Mapa final'!$AN$70="Catastrófico"),CONCATENATE("R2C",'Mapa final'!$U$70),"")</f>
        <v/>
      </c>
      <c r="AN60" s="43" t="str">
        <f>IF(AND('Mapa final'!$AL$71="Muy Baja",'Mapa final'!$AN$71="Catastrófico"),CONCATENATE("R2C",'Mapa final'!$U$71),"")</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81"/>
      <c r="D61" s="381"/>
      <c r="E61" s="382"/>
      <c r="F61" s="474"/>
      <c r="G61" s="475"/>
      <c r="H61" s="475"/>
      <c r="I61" s="475"/>
      <c r="J61" s="476"/>
      <c r="K61" s="65" t="str">
        <f>IF(AND('Mapa final'!$AL$72="Muy Baja",'Mapa final'!$AN$72="Leve"),CONCATENATE("R2C",'Mapa final'!$U$72),"")</f>
        <v/>
      </c>
      <c r="L61" s="66" t="str">
        <f>IF(AND('Mapa final'!$AL$73="Muy Baja",'Mapa final'!$AN$73="Leve"),CONCATENATE("R2C",'Mapa final'!$U$73),"")</f>
        <v/>
      </c>
      <c r="M61" s="66" t="str">
        <f>IF(AND('Mapa final'!$AL$74="Muy Baja",'Mapa final'!$AN$74="Leve"),CONCATENATE("R2C",'Mapa final'!$U$74),"")</f>
        <v/>
      </c>
      <c r="N61" s="66" t="str">
        <f>IF(AND('Mapa final'!$AL$75="Muy Baja",'Mapa final'!$AN$75="Leve"),CONCATENATE("R2C",'Mapa final'!$U$75),"")</f>
        <v/>
      </c>
      <c r="O61" s="66" t="str">
        <f>IF(AND('Mapa final'!$AL$77="Muy Baja",'Mapa final'!$AN$77="Leve"),CONCATENATE("R2C",'Mapa final'!$U$77),"")</f>
        <v/>
      </c>
      <c r="P61" s="67" t="str">
        <f>IF(AND('Mapa final'!$AL$78="Muy Baja",'Mapa final'!$AN$78="Leve"),CONCATENATE("R2C",'Mapa final'!$U$78),"")</f>
        <v/>
      </c>
      <c r="Q61" s="65" t="str">
        <f>IF(AND('Mapa final'!$AL$72="Muy Baja",'Mapa final'!$AN$72="Menor"),CONCATENATE("R2C",'Mapa final'!$U$72),"")</f>
        <v/>
      </c>
      <c r="R61" s="66" t="str">
        <f>IF(AND('Mapa final'!$AL$73="Muy Baja",'Mapa final'!$AN$73="Menor"),CONCATENATE("R2C",'Mapa final'!$U$73),"")</f>
        <v/>
      </c>
      <c r="S61" s="66" t="str">
        <f>IF(AND('Mapa final'!$AL$74="Muy Baja",'Mapa final'!$AN$74="Menor"),CONCATENATE("R2C",'Mapa final'!$U$74),"")</f>
        <v/>
      </c>
      <c r="T61" s="66" t="str">
        <f>IF(AND('Mapa final'!$AL$75="Muy Baja",'Mapa final'!$AN$75="Menor"),CONCATENATE("R2C",'Mapa final'!$U$75),"")</f>
        <v/>
      </c>
      <c r="U61" s="66" t="str">
        <f>IF(AND('Mapa final'!$AL$77="Muy Baja",'Mapa final'!$AN$77="Menor"),CONCATENATE("R2C",'Mapa final'!$U$77),"")</f>
        <v/>
      </c>
      <c r="V61" s="67" t="str">
        <f>IF(AND('Mapa final'!$AL$78="Muy Baja",'Mapa final'!$AN$78="Menor"),CONCATENATE("R2C",'Mapa final'!$U$78),"")</f>
        <v/>
      </c>
      <c r="W61" s="56" t="str">
        <f>IF(AND('Mapa final'!$AL$72="Muy Baja",'Mapa final'!$AN$72="Moderado"),CONCATENATE("R2C",'Mapa final'!$U$72),"")</f>
        <v/>
      </c>
      <c r="X61" s="57" t="str">
        <f>IF(AND('Mapa final'!$AL$73="Muy Baja",'Mapa final'!$AN$73="Moderado"),CONCATENATE("R2C",'Mapa final'!$U$73),"")</f>
        <v/>
      </c>
      <c r="Y61" s="57" t="str">
        <f>IF(AND('Mapa final'!$AL$74="Muy Baja",'Mapa final'!$AN$74="Moderado"),CONCATENATE("R2C",'Mapa final'!$U$74),"")</f>
        <v/>
      </c>
      <c r="Z61" s="57" t="str">
        <f>IF(AND('Mapa final'!$AL$75="Muy Baja",'Mapa final'!$AN$75="Moderado"),CONCATENATE("R2C",'Mapa final'!$U$75),"")</f>
        <v/>
      </c>
      <c r="AA61" s="57" t="str">
        <f>IF(AND('Mapa final'!$AL$77="Muy Baja",'Mapa final'!$AN$77="Moderado"),CONCATENATE("R2C",'Mapa final'!$U$77),"")</f>
        <v/>
      </c>
      <c r="AB61" s="58" t="str">
        <f>IF(AND('Mapa final'!$AL$78="Muy Baja",'Mapa final'!$AN$78="Moderado"),CONCATENATE("R2C",'Mapa final'!$U$78),"")</f>
        <v/>
      </c>
      <c r="AC61" s="44" t="str">
        <f>IF(AND('Mapa final'!$AL$72="Muy Baja",'Mapa final'!$AN$72="Mayor"),CONCATENATE("R2C",'Mapa final'!$U$72),"")</f>
        <v/>
      </c>
      <c r="AD61" s="45" t="str">
        <f>IF(AND('Mapa final'!$AL$73="Muy Baja",'Mapa final'!$AN$73="Mayor"),CONCATENATE("R2C",'Mapa final'!$U$73),"")</f>
        <v/>
      </c>
      <c r="AE61" s="45" t="str">
        <f>IF(AND('Mapa final'!$AL$74="Muy Baja",'Mapa final'!$AN$74="Mayor"),CONCATENATE("R2C",'Mapa final'!$U$74),"")</f>
        <v/>
      </c>
      <c r="AF61" s="45" t="str">
        <f>IF(AND('Mapa final'!$AL$75="Muy Baja",'Mapa final'!$AN$75="Mayor"),CONCATENATE("R2C",'Mapa final'!$U$75),"")</f>
        <v/>
      </c>
      <c r="AG61" s="45" t="str">
        <f>IF(AND('Mapa final'!$AL$77="Muy Baja",'Mapa final'!$AN$77="Mayor"),CONCATENATE("R2C",'Mapa final'!$U$77),"")</f>
        <v/>
      </c>
      <c r="AH61" s="46" t="str">
        <f>IF(AND('Mapa final'!$AL$78="Muy Baja",'Mapa final'!$AN$78="Mayor"),CONCATENATE("R2C",'Mapa final'!$U$78),"")</f>
        <v/>
      </c>
      <c r="AI61" s="47" t="str">
        <f>IF(AND('Mapa final'!$AL$72="Muy Baja",'Mapa final'!$AN$72="Catastrófico"),CONCATENATE("R2C",'Mapa final'!$U$72),"")</f>
        <v/>
      </c>
      <c r="AJ61" s="48" t="str">
        <f>IF(AND('Mapa final'!$AL$73="Muy Baja",'Mapa final'!$AN$73="Catastrófico"),CONCATENATE("R2C",'Mapa final'!$U$73),"")</f>
        <v/>
      </c>
      <c r="AK61" s="48" t="str">
        <f>IF(AND('Mapa final'!$AL$74="Muy Baja",'Mapa final'!$AN$74="Catastrófico"),CONCATENATE("R2C",'Mapa final'!$U$74),"")</f>
        <v/>
      </c>
      <c r="AL61" s="48" t="str">
        <f>IF(AND('Mapa final'!$AL$75="Muy Baja",'Mapa final'!$AN$75="Catastrófico"),CONCATENATE("R2C",'Mapa final'!$U$75),"")</f>
        <v/>
      </c>
      <c r="AM61" s="48" t="str">
        <f>IF(AND('Mapa final'!$AL$77="Muy Baja",'Mapa final'!$AN$77="Catastrófico"),CONCATENATE("R2C",'Mapa final'!$U$77),"")</f>
        <v/>
      </c>
      <c r="AN61" s="49" t="str">
        <f>IF(AND('Mapa final'!$AL$78="Muy Baja",'Mapa final'!$AN$78="Catastrófico"),CONCATENATE("R2C",'Mapa final'!$U$78),"")</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68" t="s">
        <v>111</v>
      </c>
      <c r="L62" s="469"/>
      <c r="M62" s="469"/>
      <c r="N62" s="469"/>
      <c r="O62" s="469"/>
      <c r="P62" s="470"/>
      <c r="Q62" s="468" t="s">
        <v>110</v>
      </c>
      <c r="R62" s="469"/>
      <c r="S62" s="469"/>
      <c r="T62" s="469"/>
      <c r="U62" s="469"/>
      <c r="V62" s="470"/>
      <c r="W62" s="468" t="s">
        <v>109</v>
      </c>
      <c r="X62" s="469"/>
      <c r="Y62" s="469"/>
      <c r="Z62" s="469"/>
      <c r="AA62" s="469"/>
      <c r="AB62" s="470"/>
      <c r="AC62" s="468" t="s">
        <v>108</v>
      </c>
      <c r="AD62" s="518"/>
      <c r="AE62" s="469"/>
      <c r="AF62" s="469"/>
      <c r="AG62" s="469"/>
      <c r="AH62" s="470"/>
      <c r="AI62" s="468" t="s">
        <v>107</v>
      </c>
      <c r="AJ62" s="469"/>
      <c r="AK62" s="469"/>
      <c r="AL62" s="469"/>
      <c r="AM62" s="469"/>
      <c r="AN62" s="470"/>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71"/>
      <c r="L63" s="472"/>
      <c r="M63" s="472"/>
      <c r="N63" s="472"/>
      <c r="O63" s="472"/>
      <c r="P63" s="473"/>
      <c r="Q63" s="471"/>
      <c r="R63" s="472"/>
      <c r="S63" s="472"/>
      <c r="T63" s="472"/>
      <c r="U63" s="472"/>
      <c r="V63" s="473"/>
      <c r="W63" s="471"/>
      <c r="X63" s="472"/>
      <c r="Y63" s="472"/>
      <c r="Z63" s="472"/>
      <c r="AA63" s="472"/>
      <c r="AB63" s="473"/>
      <c r="AC63" s="471"/>
      <c r="AD63" s="472"/>
      <c r="AE63" s="472"/>
      <c r="AF63" s="472"/>
      <c r="AG63" s="472"/>
      <c r="AH63" s="473"/>
      <c r="AI63" s="471"/>
      <c r="AJ63" s="472"/>
      <c r="AK63" s="472"/>
      <c r="AL63" s="472"/>
      <c r="AM63" s="472"/>
      <c r="AN63" s="473"/>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71"/>
      <c r="L64" s="472"/>
      <c r="M64" s="472"/>
      <c r="N64" s="472"/>
      <c r="O64" s="472"/>
      <c r="P64" s="473"/>
      <c r="Q64" s="471"/>
      <c r="R64" s="472"/>
      <c r="S64" s="472"/>
      <c r="T64" s="472"/>
      <c r="U64" s="472"/>
      <c r="V64" s="473"/>
      <c r="W64" s="471"/>
      <c r="X64" s="472"/>
      <c r="Y64" s="472"/>
      <c r="Z64" s="472"/>
      <c r="AA64" s="472"/>
      <c r="AB64" s="473"/>
      <c r="AC64" s="471"/>
      <c r="AD64" s="472"/>
      <c r="AE64" s="472"/>
      <c r="AF64" s="472"/>
      <c r="AG64" s="472"/>
      <c r="AH64" s="473"/>
      <c r="AI64" s="471"/>
      <c r="AJ64" s="472"/>
      <c r="AK64" s="472"/>
      <c r="AL64" s="472"/>
      <c r="AM64" s="472"/>
      <c r="AN64" s="473"/>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71"/>
      <c r="L65" s="472"/>
      <c r="M65" s="472"/>
      <c r="N65" s="472"/>
      <c r="O65" s="472"/>
      <c r="P65" s="473"/>
      <c r="Q65" s="471"/>
      <c r="R65" s="472"/>
      <c r="S65" s="472"/>
      <c r="T65" s="472"/>
      <c r="U65" s="472"/>
      <c r="V65" s="473"/>
      <c r="W65" s="471"/>
      <c r="X65" s="472"/>
      <c r="Y65" s="472"/>
      <c r="Z65" s="472"/>
      <c r="AA65" s="472"/>
      <c r="AB65" s="473"/>
      <c r="AC65" s="471"/>
      <c r="AD65" s="472"/>
      <c r="AE65" s="472"/>
      <c r="AF65" s="472"/>
      <c r="AG65" s="472"/>
      <c r="AH65" s="473"/>
      <c r="AI65" s="471"/>
      <c r="AJ65" s="472"/>
      <c r="AK65" s="472"/>
      <c r="AL65" s="472"/>
      <c r="AM65" s="472"/>
      <c r="AN65" s="473"/>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71"/>
      <c r="L66" s="472"/>
      <c r="M66" s="472"/>
      <c r="N66" s="472"/>
      <c r="O66" s="472"/>
      <c r="P66" s="473"/>
      <c r="Q66" s="471"/>
      <c r="R66" s="472"/>
      <c r="S66" s="472"/>
      <c r="T66" s="472"/>
      <c r="U66" s="472"/>
      <c r="V66" s="473"/>
      <c r="W66" s="471"/>
      <c r="X66" s="472"/>
      <c r="Y66" s="472"/>
      <c r="Z66" s="472"/>
      <c r="AA66" s="472"/>
      <c r="AB66" s="473"/>
      <c r="AC66" s="471"/>
      <c r="AD66" s="472"/>
      <c r="AE66" s="472"/>
      <c r="AF66" s="472"/>
      <c r="AG66" s="472"/>
      <c r="AH66" s="473"/>
      <c r="AI66" s="471"/>
      <c r="AJ66" s="472"/>
      <c r="AK66" s="472"/>
      <c r="AL66" s="472"/>
      <c r="AM66" s="472"/>
      <c r="AN66" s="473"/>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74"/>
      <c r="L67" s="475"/>
      <c r="M67" s="475"/>
      <c r="N67" s="475"/>
      <c r="O67" s="475"/>
      <c r="P67" s="476"/>
      <c r="Q67" s="474"/>
      <c r="R67" s="475"/>
      <c r="S67" s="475"/>
      <c r="T67" s="475"/>
      <c r="U67" s="475"/>
      <c r="V67" s="476"/>
      <c r="W67" s="474"/>
      <c r="X67" s="475"/>
      <c r="Y67" s="475"/>
      <c r="Z67" s="475"/>
      <c r="AA67" s="475"/>
      <c r="AB67" s="476"/>
      <c r="AC67" s="474"/>
      <c r="AD67" s="475"/>
      <c r="AE67" s="475"/>
      <c r="AF67" s="475"/>
      <c r="AG67" s="475"/>
      <c r="AH67" s="476"/>
      <c r="AI67" s="474"/>
      <c r="AJ67" s="475"/>
      <c r="AK67" s="475"/>
      <c r="AL67" s="475"/>
      <c r="AM67" s="475"/>
      <c r="AN67" s="476"/>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19" t="s">
        <v>244</v>
      </c>
      <c r="C2" s="522" t="s">
        <v>205</v>
      </c>
      <c r="D2" s="523"/>
      <c r="E2" s="124" t="s">
        <v>390</v>
      </c>
      <c r="F2" s="125"/>
    </row>
    <row r="3" spans="1:6" ht="15.75" customHeight="1" x14ac:dyDescent="0.25">
      <c r="B3" s="520"/>
      <c r="C3" s="245"/>
      <c r="D3" s="247"/>
      <c r="E3" s="124" t="s">
        <v>264</v>
      </c>
      <c r="F3" s="125"/>
    </row>
    <row r="4" spans="1:6" ht="16.5" customHeight="1" x14ac:dyDescent="0.25">
      <c r="B4" s="520"/>
      <c r="C4" s="245"/>
      <c r="D4" s="247"/>
      <c r="E4" s="124" t="s">
        <v>389</v>
      </c>
      <c r="F4" s="125"/>
    </row>
    <row r="5" spans="1:6" ht="15" customHeight="1" thickBot="1" x14ac:dyDescent="0.3">
      <c r="B5" s="521"/>
      <c r="C5" s="524"/>
      <c r="D5" s="525"/>
      <c r="E5" s="124" t="s">
        <v>245</v>
      </c>
      <c r="F5" s="125"/>
    </row>
    <row r="7" spans="1:6" x14ac:dyDescent="0.25">
      <c r="A7" s="526" t="s">
        <v>266</v>
      </c>
      <c r="B7" s="142" t="s">
        <v>246</v>
      </c>
      <c r="C7" s="143" t="s">
        <v>247</v>
      </c>
      <c r="D7" s="143" t="s">
        <v>248</v>
      </c>
      <c r="E7" s="143" t="s">
        <v>249</v>
      </c>
    </row>
    <row r="8" spans="1:6" x14ac:dyDescent="0.25">
      <c r="A8" s="526"/>
      <c r="B8" s="126">
        <v>45687</v>
      </c>
      <c r="C8" s="127" t="s">
        <v>397</v>
      </c>
      <c r="D8" s="128" t="s">
        <v>436</v>
      </c>
      <c r="E8" s="128" t="s">
        <v>396</v>
      </c>
    </row>
    <row r="9" spans="1:6" x14ac:dyDescent="0.25">
      <c r="A9" s="526"/>
      <c r="B9" s="126"/>
      <c r="C9" s="127"/>
      <c r="D9" s="128"/>
      <c r="E9" s="128"/>
    </row>
    <row r="10" spans="1:6" x14ac:dyDescent="0.25">
      <c r="A10" s="526"/>
      <c r="B10" s="126"/>
      <c r="C10" s="127"/>
      <c r="D10" s="128"/>
      <c r="E10" s="128"/>
    </row>
    <row r="11" spans="1:6" x14ac:dyDescent="0.25">
      <c r="A11" s="526"/>
      <c r="B11" s="126"/>
      <c r="C11" s="127"/>
      <c r="D11" s="128"/>
      <c r="E11" s="128"/>
    </row>
    <row r="12" spans="1:6" x14ac:dyDescent="0.25">
      <c r="A12" s="526"/>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44" t="s">
        <v>162</v>
      </c>
      <c r="C2" s="545"/>
      <c r="D2" s="545"/>
      <c r="E2" s="545"/>
      <c r="F2" s="545"/>
      <c r="G2" s="545"/>
      <c r="H2" s="546"/>
      <c r="J2" s="151" t="s">
        <v>274</v>
      </c>
    </row>
    <row r="3" spans="2:10" ht="20.25" x14ac:dyDescent="0.25">
      <c r="B3" s="70"/>
      <c r="C3" s="71"/>
      <c r="D3" s="71"/>
      <c r="E3" s="71"/>
      <c r="F3" s="71"/>
      <c r="G3" s="71"/>
      <c r="H3" s="72"/>
      <c r="J3" s="151"/>
    </row>
    <row r="4" spans="2:10" ht="63" customHeight="1" x14ac:dyDescent="0.25">
      <c r="B4" s="547" t="s">
        <v>305</v>
      </c>
      <c r="C4" s="548"/>
      <c r="D4" s="548"/>
      <c r="E4" s="548"/>
      <c r="F4" s="548"/>
      <c r="G4" s="548"/>
      <c r="H4" s="549"/>
    </row>
    <row r="5" spans="2:10" ht="63" customHeight="1" x14ac:dyDescent="0.25">
      <c r="B5" s="550"/>
      <c r="C5" s="551"/>
      <c r="D5" s="551"/>
      <c r="E5" s="551"/>
      <c r="F5" s="551"/>
      <c r="G5" s="551"/>
      <c r="H5" s="552"/>
    </row>
    <row r="6" spans="2:10" ht="16.5" x14ac:dyDescent="0.25">
      <c r="B6" s="553" t="s">
        <v>160</v>
      </c>
      <c r="C6" s="554"/>
      <c r="D6" s="554"/>
      <c r="E6" s="554"/>
      <c r="F6" s="554"/>
      <c r="G6" s="554"/>
      <c r="H6" s="555"/>
    </row>
    <row r="7" spans="2:10" ht="95.25" customHeight="1" x14ac:dyDescent="0.25">
      <c r="B7" s="563" t="s">
        <v>165</v>
      </c>
      <c r="C7" s="564"/>
      <c r="D7" s="564"/>
      <c r="E7" s="564"/>
      <c r="F7" s="564"/>
      <c r="G7" s="564"/>
      <c r="H7" s="565"/>
    </row>
    <row r="8" spans="2:10" ht="16.5" x14ac:dyDescent="0.25">
      <c r="B8" s="106"/>
      <c r="C8" s="107"/>
      <c r="D8" s="107"/>
      <c r="E8" s="107"/>
      <c r="F8" s="107"/>
      <c r="G8" s="107"/>
      <c r="H8" s="108"/>
    </row>
    <row r="9" spans="2:10" ht="16.5" customHeight="1" x14ac:dyDescent="0.25">
      <c r="B9" s="556" t="s">
        <v>293</v>
      </c>
      <c r="C9" s="557"/>
      <c r="D9" s="557"/>
      <c r="E9" s="557"/>
      <c r="F9" s="557"/>
      <c r="G9" s="557"/>
      <c r="H9" s="558"/>
    </row>
    <row r="10" spans="2:10" ht="44.25" customHeight="1" x14ac:dyDescent="0.25">
      <c r="B10" s="556"/>
      <c r="C10" s="557"/>
      <c r="D10" s="557"/>
      <c r="E10" s="557"/>
      <c r="F10" s="557"/>
      <c r="G10" s="557"/>
      <c r="H10" s="558"/>
    </row>
    <row r="11" spans="2:10" ht="15.75" thickBot="1" x14ac:dyDescent="0.3">
      <c r="B11" s="95"/>
      <c r="C11" s="98"/>
      <c r="D11" s="103"/>
      <c r="E11" s="104"/>
      <c r="F11" s="104"/>
      <c r="G11" s="105"/>
      <c r="H11" s="99"/>
    </row>
    <row r="12" spans="2:10" ht="15.75" thickTop="1" x14ac:dyDescent="0.25">
      <c r="B12" s="95"/>
      <c r="C12" s="559" t="s">
        <v>161</v>
      </c>
      <c r="D12" s="560"/>
      <c r="E12" s="561" t="s">
        <v>198</v>
      </c>
      <c r="F12" s="562"/>
      <c r="G12" s="98"/>
      <c r="H12" s="99"/>
    </row>
    <row r="13" spans="2:10" ht="35.25" customHeight="1" x14ac:dyDescent="0.25">
      <c r="B13" s="95"/>
      <c r="C13" s="531" t="s">
        <v>192</v>
      </c>
      <c r="D13" s="532"/>
      <c r="E13" s="533" t="s">
        <v>197</v>
      </c>
      <c r="F13" s="534"/>
      <c r="G13" s="98"/>
      <c r="H13" s="99"/>
    </row>
    <row r="14" spans="2:10" ht="17.25" customHeight="1" x14ac:dyDescent="0.25">
      <c r="B14" s="95"/>
      <c r="C14" s="531" t="s">
        <v>193</v>
      </c>
      <c r="D14" s="532"/>
      <c r="E14" s="533" t="s">
        <v>195</v>
      </c>
      <c r="F14" s="534"/>
      <c r="G14" s="98"/>
      <c r="H14" s="99"/>
    </row>
    <row r="15" spans="2:10" ht="19.5" customHeight="1" x14ac:dyDescent="0.25">
      <c r="B15" s="95"/>
      <c r="C15" s="531" t="s">
        <v>194</v>
      </c>
      <c r="D15" s="532"/>
      <c r="E15" s="533" t="s">
        <v>196</v>
      </c>
      <c r="F15" s="534"/>
      <c r="G15" s="98"/>
      <c r="H15" s="99"/>
    </row>
    <row r="16" spans="2:10" ht="69.75" customHeight="1" x14ac:dyDescent="0.25">
      <c r="B16" s="95"/>
      <c r="C16" s="531" t="s">
        <v>163</v>
      </c>
      <c r="D16" s="532"/>
      <c r="E16" s="533" t="s">
        <v>164</v>
      </c>
      <c r="F16" s="534"/>
      <c r="G16" s="98"/>
      <c r="H16" s="99"/>
    </row>
    <row r="17" spans="2:8" ht="34.5" customHeight="1" x14ac:dyDescent="0.25">
      <c r="B17" s="95"/>
      <c r="C17" s="535" t="s">
        <v>2</v>
      </c>
      <c r="D17" s="536"/>
      <c r="E17" s="527" t="s">
        <v>199</v>
      </c>
      <c r="F17" s="528"/>
      <c r="G17" s="98"/>
      <c r="H17" s="99"/>
    </row>
    <row r="18" spans="2:8" ht="27.75" customHeight="1" x14ac:dyDescent="0.25">
      <c r="B18" s="95"/>
      <c r="C18" s="535" t="s">
        <v>3</v>
      </c>
      <c r="D18" s="536"/>
      <c r="E18" s="527" t="s">
        <v>200</v>
      </c>
      <c r="F18" s="528"/>
      <c r="G18" s="98"/>
      <c r="H18" s="99"/>
    </row>
    <row r="19" spans="2:8" ht="28.5" customHeight="1" x14ac:dyDescent="0.25">
      <c r="B19" s="95"/>
      <c r="C19" s="535" t="s">
        <v>41</v>
      </c>
      <c r="D19" s="536"/>
      <c r="E19" s="527" t="s">
        <v>201</v>
      </c>
      <c r="F19" s="528"/>
      <c r="G19" s="98"/>
      <c r="H19" s="99"/>
    </row>
    <row r="20" spans="2:8" ht="72.75" customHeight="1" x14ac:dyDescent="0.25">
      <c r="B20" s="95"/>
      <c r="C20" s="535" t="s">
        <v>1</v>
      </c>
      <c r="D20" s="536"/>
      <c r="E20" s="527" t="s">
        <v>202</v>
      </c>
      <c r="F20" s="528"/>
      <c r="G20" s="98"/>
      <c r="H20" s="99"/>
    </row>
    <row r="21" spans="2:8" ht="64.5" customHeight="1" x14ac:dyDescent="0.25">
      <c r="B21" s="95"/>
      <c r="C21" s="535" t="s">
        <v>49</v>
      </c>
      <c r="D21" s="536"/>
      <c r="E21" s="527" t="s">
        <v>167</v>
      </c>
      <c r="F21" s="528"/>
      <c r="G21" s="98"/>
      <c r="H21" s="99"/>
    </row>
    <row r="22" spans="2:8" ht="71.25" customHeight="1" x14ac:dyDescent="0.25">
      <c r="B22" s="95"/>
      <c r="C22" s="535" t="s">
        <v>166</v>
      </c>
      <c r="D22" s="536"/>
      <c r="E22" s="527" t="s">
        <v>168</v>
      </c>
      <c r="F22" s="528"/>
      <c r="G22" s="98"/>
      <c r="H22" s="99"/>
    </row>
    <row r="23" spans="2:8" ht="55.5" customHeight="1" x14ac:dyDescent="0.25">
      <c r="B23" s="95"/>
      <c r="C23" s="529" t="s">
        <v>169</v>
      </c>
      <c r="D23" s="530"/>
      <c r="E23" s="527" t="s">
        <v>170</v>
      </c>
      <c r="F23" s="528"/>
      <c r="G23" s="98"/>
      <c r="H23" s="99"/>
    </row>
    <row r="24" spans="2:8" ht="42" customHeight="1" x14ac:dyDescent="0.25">
      <c r="B24" s="95"/>
      <c r="C24" s="529" t="s">
        <v>47</v>
      </c>
      <c r="D24" s="530"/>
      <c r="E24" s="527" t="s">
        <v>171</v>
      </c>
      <c r="F24" s="528"/>
      <c r="G24" s="98"/>
      <c r="H24" s="99"/>
    </row>
    <row r="25" spans="2:8" ht="59.25" customHeight="1" x14ac:dyDescent="0.25">
      <c r="B25" s="95"/>
      <c r="C25" s="529" t="s">
        <v>159</v>
      </c>
      <c r="D25" s="530"/>
      <c r="E25" s="527" t="s">
        <v>172</v>
      </c>
      <c r="F25" s="528"/>
      <c r="G25" s="98"/>
      <c r="H25" s="99"/>
    </row>
    <row r="26" spans="2:8" ht="23.25" customHeight="1" x14ac:dyDescent="0.25">
      <c r="B26" s="95"/>
      <c r="C26" s="529" t="s">
        <v>12</v>
      </c>
      <c r="D26" s="530"/>
      <c r="E26" s="527" t="s">
        <v>173</v>
      </c>
      <c r="F26" s="528"/>
      <c r="G26" s="98"/>
      <c r="H26" s="99"/>
    </row>
    <row r="27" spans="2:8" ht="30.75" customHeight="1" x14ac:dyDescent="0.25">
      <c r="B27" s="95"/>
      <c r="C27" s="529" t="s">
        <v>177</v>
      </c>
      <c r="D27" s="530"/>
      <c r="E27" s="527" t="s">
        <v>174</v>
      </c>
      <c r="F27" s="528"/>
      <c r="G27" s="98"/>
      <c r="H27" s="99"/>
    </row>
    <row r="28" spans="2:8" ht="35.25" customHeight="1" x14ac:dyDescent="0.25">
      <c r="B28" s="95"/>
      <c r="C28" s="529" t="s">
        <v>178</v>
      </c>
      <c r="D28" s="530"/>
      <c r="E28" s="527" t="s">
        <v>175</v>
      </c>
      <c r="F28" s="528"/>
      <c r="G28" s="98"/>
      <c r="H28" s="99"/>
    </row>
    <row r="29" spans="2:8" ht="33" customHeight="1" x14ac:dyDescent="0.25">
      <c r="B29" s="95"/>
      <c r="C29" s="529" t="s">
        <v>178</v>
      </c>
      <c r="D29" s="530"/>
      <c r="E29" s="527" t="s">
        <v>175</v>
      </c>
      <c r="F29" s="528"/>
      <c r="G29" s="98"/>
      <c r="H29" s="99"/>
    </row>
    <row r="30" spans="2:8" ht="30" customHeight="1" x14ac:dyDescent="0.25">
      <c r="B30" s="95"/>
      <c r="C30" s="529" t="s">
        <v>179</v>
      </c>
      <c r="D30" s="530"/>
      <c r="E30" s="527" t="s">
        <v>176</v>
      </c>
      <c r="F30" s="528"/>
      <c r="G30" s="98"/>
      <c r="H30" s="99"/>
    </row>
    <row r="31" spans="2:8" ht="35.25" customHeight="1" x14ac:dyDescent="0.25">
      <c r="B31" s="95"/>
      <c r="C31" s="529" t="s">
        <v>180</v>
      </c>
      <c r="D31" s="530"/>
      <c r="E31" s="527" t="s">
        <v>181</v>
      </c>
      <c r="F31" s="528"/>
      <c r="G31" s="98"/>
      <c r="H31" s="99"/>
    </row>
    <row r="32" spans="2:8" ht="31.5" customHeight="1" x14ac:dyDescent="0.25">
      <c r="B32" s="95"/>
      <c r="C32" s="529" t="s">
        <v>182</v>
      </c>
      <c r="D32" s="530"/>
      <c r="E32" s="527" t="s">
        <v>183</v>
      </c>
      <c r="F32" s="528"/>
      <c r="G32" s="98"/>
      <c r="H32" s="99"/>
    </row>
    <row r="33" spans="2:8" ht="35.25" customHeight="1" x14ac:dyDescent="0.25">
      <c r="B33" s="95"/>
      <c r="C33" s="529" t="s">
        <v>184</v>
      </c>
      <c r="D33" s="530"/>
      <c r="E33" s="527" t="s">
        <v>185</v>
      </c>
      <c r="F33" s="528"/>
      <c r="G33" s="98"/>
      <c r="H33" s="99"/>
    </row>
    <row r="34" spans="2:8" ht="59.25" customHeight="1" x14ac:dyDescent="0.25">
      <c r="B34" s="95"/>
      <c r="C34" s="529" t="s">
        <v>186</v>
      </c>
      <c r="D34" s="530"/>
      <c r="E34" s="527" t="s">
        <v>187</v>
      </c>
      <c r="F34" s="528"/>
      <c r="G34" s="98"/>
      <c r="H34" s="99"/>
    </row>
    <row r="35" spans="2:8" ht="29.25" customHeight="1" x14ac:dyDescent="0.25">
      <c r="B35" s="95"/>
      <c r="C35" s="529" t="s">
        <v>29</v>
      </c>
      <c r="D35" s="530"/>
      <c r="E35" s="527" t="s">
        <v>188</v>
      </c>
      <c r="F35" s="528"/>
      <c r="G35" s="98"/>
      <c r="H35" s="99"/>
    </row>
    <row r="36" spans="2:8" ht="82.5" customHeight="1" x14ac:dyDescent="0.25">
      <c r="B36" s="95"/>
      <c r="C36" s="529" t="s">
        <v>190</v>
      </c>
      <c r="D36" s="530"/>
      <c r="E36" s="527" t="s">
        <v>189</v>
      </c>
      <c r="F36" s="528"/>
      <c r="G36" s="98"/>
      <c r="H36" s="99"/>
    </row>
    <row r="37" spans="2:8" ht="46.5" customHeight="1" x14ac:dyDescent="0.25">
      <c r="B37" s="95"/>
      <c r="C37" s="529" t="s">
        <v>38</v>
      </c>
      <c r="D37" s="530"/>
      <c r="E37" s="527" t="s">
        <v>191</v>
      </c>
      <c r="F37" s="528"/>
      <c r="G37" s="98"/>
      <c r="H37" s="99"/>
    </row>
    <row r="38" spans="2:8" ht="6.75" customHeight="1" thickBot="1" x14ac:dyDescent="0.3">
      <c r="B38" s="95"/>
      <c r="C38" s="540"/>
      <c r="D38" s="541"/>
      <c r="E38" s="542"/>
      <c r="F38" s="543"/>
      <c r="G38" s="98"/>
      <c r="H38" s="99"/>
    </row>
    <row r="39" spans="2:8" ht="15.75" thickTop="1" x14ac:dyDescent="0.25">
      <c r="B39" s="95"/>
      <c r="C39" s="96"/>
      <c r="D39" s="96"/>
      <c r="E39" s="97"/>
      <c r="F39" s="97"/>
      <c r="G39" s="98"/>
      <c r="H39" s="99"/>
    </row>
    <row r="40" spans="2:8" ht="21" customHeight="1" x14ac:dyDescent="0.25">
      <c r="B40" s="537" t="s">
        <v>294</v>
      </c>
      <c r="C40" s="538"/>
      <c r="D40" s="538"/>
      <c r="E40" s="538"/>
      <c r="F40" s="538"/>
      <c r="G40" s="538"/>
      <c r="H40" s="539"/>
    </row>
    <row r="41" spans="2:8" ht="20.25" customHeight="1" x14ac:dyDescent="0.25">
      <c r="B41" s="537" t="s">
        <v>295</v>
      </c>
      <c r="C41" s="538"/>
      <c r="D41" s="538"/>
      <c r="E41" s="538"/>
      <c r="F41" s="538"/>
      <c r="G41" s="538"/>
      <c r="H41" s="539"/>
    </row>
    <row r="42" spans="2:8" ht="20.25" customHeight="1" x14ac:dyDescent="0.25">
      <c r="B42" s="537" t="s">
        <v>296</v>
      </c>
      <c r="C42" s="538"/>
      <c r="D42" s="538"/>
      <c r="E42" s="538"/>
      <c r="F42" s="538"/>
      <c r="G42" s="538"/>
      <c r="H42" s="539"/>
    </row>
    <row r="43" spans="2:8" ht="20.25" customHeight="1" x14ac:dyDescent="0.25">
      <c r="B43" s="537" t="s">
        <v>297</v>
      </c>
      <c r="C43" s="538"/>
      <c r="D43" s="538"/>
      <c r="E43" s="538"/>
      <c r="F43" s="538"/>
      <c r="G43" s="538"/>
      <c r="H43" s="539"/>
    </row>
    <row r="44" spans="2:8" ht="15" customHeight="1" x14ac:dyDescent="0.25">
      <c r="B44" s="537" t="s">
        <v>298</v>
      </c>
      <c r="C44" s="538"/>
      <c r="D44" s="538"/>
      <c r="E44" s="538"/>
      <c r="F44" s="538"/>
      <c r="G44" s="538"/>
      <c r="H44" s="539"/>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03" t="s">
        <v>251</v>
      </c>
      <c r="C2" s="604" t="s">
        <v>205</v>
      </c>
      <c r="D2" s="605"/>
      <c r="E2" s="605"/>
      <c r="F2" s="605"/>
      <c r="G2" s="605"/>
      <c r="H2" s="605"/>
      <c r="I2" s="605"/>
      <c r="J2" s="285" t="s">
        <v>250</v>
      </c>
      <c r="K2" s="258"/>
    </row>
    <row r="3" spans="2:11" ht="15" customHeight="1" x14ac:dyDescent="0.25">
      <c r="B3" s="520"/>
      <c r="C3" s="606"/>
      <c r="D3" s="607"/>
      <c r="E3" s="607"/>
      <c r="F3" s="607"/>
      <c r="G3" s="607"/>
      <c r="H3" s="607"/>
      <c r="I3" s="607"/>
      <c r="J3" s="286" t="s">
        <v>264</v>
      </c>
      <c r="K3" s="260"/>
    </row>
    <row r="4" spans="2:11" ht="15" customHeight="1" x14ac:dyDescent="0.25">
      <c r="B4" s="520"/>
      <c r="C4" s="606"/>
      <c r="D4" s="607"/>
      <c r="E4" s="607"/>
      <c r="F4" s="607"/>
      <c r="G4" s="607"/>
      <c r="H4" s="607"/>
      <c r="I4" s="607"/>
      <c r="J4" s="286" t="s">
        <v>263</v>
      </c>
      <c r="K4" s="260" t="s">
        <v>263</v>
      </c>
    </row>
    <row r="5" spans="2:11" ht="15" customHeight="1" thickBot="1" x14ac:dyDescent="0.3">
      <c r="B5" s="521"/>
      <c r="C5" s="608"/>
      <c r="D5" s="609"/>
      <c r="E5" s="609"/>
      <c r="F5" s="609"/>
      <c r="G5" s="609"/>
      <c r="H5" s="609"/>
      <c r="I5" s="609"/>
      <c r="J5" s="287" t="s">
        <v>245</v>
      </c>
      <c r="K5" s="262" t="s">
        <v>245</v>
      </c>
    </row>
    <row r="6" spans="2:11" ht="15.75" thickBot="1" x14ac:dyDescent="0.3"/>
    <row r="7" spans="2:11" customFormat="1" ht="15.75" thickBot="1" x14ac:dyDescent="0.3">
      <c r="B7" s="597" t="s">
        <v>246</v>
      </c>
      <c r="C7" s="598"/>
      <c r="D7" s="599" t="s">
        <v>252</v>
      </c>
      <c r="E7" s="600"/>
      <c r="F7" s="599" t="s">
        <v>253</v>
      </c>
      <c r="G7" s="601"/>
      <c r="H7" s="601"/>
      <c r="I7" s="601"/>
      <c r="J7" s="601"/>
      <c r="K7" s="602"/>
    </row>
    <row r="8" spans="2:11" customFormat="1" ht="18" customHeight="1" thickBot="1" x14ac:dyDescent="0.3">
      <c r="B8" s="568"/>
      <c r="C8" s="569"/>
      <c r="D8" s="570">
        <v>1</v>
      </c>
      <c r="E8" s="571"/>
      <c r="F8" s="566"/>
      <c r="G8" s="566"/>
      <c r="H8" s="566"/>
      <c r="I8" s="566"/>
      <c r="J8" s="566"/>
      <c r="K8" s="567"/>
    </row>
    <row r="9" spans="2:11" customFormat="1" ht="18" customHeight="1" thickBot="1" x14ac:dyDescent="0.3">
      <c r="B9" s="568"/>
      <c r="C9" s="569"/>
      <c r="D9" s="570">
        <v>2</v>
      </c>
      <c r="E9" s="571"/>
      <c r="F9" s="566"/>
      <c r="G9" s="566"/>
      <c r="H9" s="566"/>
      <c r="I9" s="566"/>
      <c r="J9" s="566"/>
      <c r="K9" s="567"/>
    </row>
    <row r="10" spans="2:11" customFormat="1" ht="18" customHeight="1" thickBot="1" x14ac:dyDescent="0.3">
      <c r="B10" s="568"/>
      <c r="C10" s="569"/>
      <c r="D10" s="570">
        <v>3</v>
      </c>
      <c r="E10" s="571"/>
      <c r="F10" s="566"/>
      <c r="G10" s="566"/>
      <c r="H10" s="566"/>
      <c r="I10" s="566"/>
      <c r="J10" s="566"/>
      <c r="K10" s="567"/>
    </row>
    <row r="11" spans="2:11" customFormat="1" ht="18" customHeight="1" thickBot="1" x14ac:dyDescent="0.3">
      <c r="B11" s="568"/>
      <c r="C11" s="569"/>
      <c r="D11" s="570">
        <v>4</v>
      </c>
      <c r="E11" s="571"/>
      <c r="F11" s="566"/>
      <c r="G11" s="566"/>
      <c r="H11" s="566"/>
      <c r="I11" s="566"/>
      <c r="J11" s="566"/>
      <c r="K11" s="567"/>
    </row>
    <row r="12" spans="2:11" customFormat="1" ht="18" customHeight="1" thickBot="1" x14ac:dyDescent="0.3">
      <c r="B12" s="568"/>
      <c r="C12" s="569"/>
      <c r="D12" s="570">
        <v>5</v>
      </c>
      <c r="E12" s="571"/>
      <c r="F12" s="566"/>
      <c r="G12" s="566"/>
      <c r="H12" s="566"/>
      <c r="I12" s="566"/>
      <c r="J12" s="566"/>
      <c r="K12" s="567"/>
    </row>
    <row r="13" spans="2:11" customFormat="1" ht="18" customHeight="1" thickBot="1" x14ac:dyDescent="0.3">
      <c r="B13" s="568"/>
      <c r="C13" s="569"/>
      <c r="D13" s="570">
        <v>6</v>
      </c>
      <c r="E13" s="571"/>
      <c r="F13" s="566"/>
      <c r="G13" s="566"/>
      <c r="H13" s="566"/>
      <c r="I13" s="566"/>
      <c r="J13" s="566"/>
      <c r="K13" s="567"/>
    </row>
    <row r="14" spans="2:11" customFormat="1" ht="18" customHeight="1" thickBot="1" x14ac:dyDescent="0.3">
      <c r="B14" s="568"/>
      <c r="C14" s="569"/>
      <c r="D14" s="570">
        <v>7</v>
      </c>
      <c r="E14" s="571"/>
      <c r="F14" s="566"/>
      <c r="G14" s="566"/>
      <c r="H14" s="566"/>
      <c r="I14" s="566"/>
      <c r="J14" s="566"/>
      <c r="K14" s="567"/>
    </row>
    <row r="15" spans="2:11" customFormat="1" ht="18" customHeight="1" thickBot="1" x14ac:dyDescent="0.3">
      <c r="B15" s="568">
        <v>45352</v>
      </c>
      <c r="C15" s="569"/>
      <c r="D15" s="570">
        <v>8</v>
      </c>
      <c r="E15" s="571"/>
      <c r="F15" s="566" t="s">
        <v>265</v>
      </c>
      <c r="G15" s="566"/>
      <c r="H15" s="566"/>
      <c r="I15" s="566"/>
      <c r="J15" s="566"/>
      <c r="K15" s="567"/>
    </row>
    <row r="16" spans="2:11" customFormat="1" ht="15.75" customHeight="1" thickBot="1" x14ac:dyDescent="0.3">
      <c r="B16" s="584"/>
      <c r="C16" s="584"/>
      <c r="D16" s="584"/>
      <c r="E16" s="584"/>
      <c r="F16" s="584"/>
      <c r="G16" s="584"/>
      <c r="H16" s="584"/>
      <c r="I16" s="584"/>
      <c r="J16" s="584"/>
      <c r="K16" s="584"/>
    </row>
    <row r="17" spans="2:12" customFormat="1" ht="15.75" customHeight="1" thickBot="1" x14ac:dyDescent="0.3">
      <c r="B17" s="585" t="s">
        <v>254</v>
      </c>
      <c r="C17" s="586"/>
      <c r="D17" s="586"/>
      <c r="E17" s="587"/>
      <c r="F17" s="588" t="s">
        <v>255</v>
      </c>
      <c r="G17" s="589"/>
      <c r="H17" s="590"/>
      <c r="I17" s="591" t="s">
        <v>256</v>
      </c>
      <c r="J17" s="592"/>
      <c r="K17" s="587"/>
    </row>
    <row r="18" spans="2:12" customFormat="1" ht="27" customHeight="1" x14ac:dyDescent="0.25">
      <c r="B18" s="593"/>
      <c r="C18" s="594"/>
      <c r="D18" s="594"/>
      <c r="E18" s="594"/>
      <c r="F18" s="594"/>
      <c r="G18" s="594"/>
      <c r="H18" s="594"/>
      <c r="I18" s="595"/>
      <c r="J18" s="595"/>
      <c r="K18" s="596"/>
    </row>
    <row r="19" spans="2:12" customFormat="1" ht="15" customHeight="1" x14ac:dyDescent="0.25">
      <c r="B19" s="573" t="s">
        <v>257</v>
      </c>
      <c r="C19" s="574"/>
      <c r="D19" s="574"/>
      <c r="E19" s="574"/>
      <c r="F19" s="575" t="s">
        <v>258</v>
      </c>
      <c r="G19" s="575"/>
      <c r="H19" s="576"/>
      <c r="I19" s="575" t="s">
        <v>258</v>
      </c>
      <c r="J19" s="575"/>
      <c r="K19" s="576"/>
    </row>
    <row r="20" spans="2:12" customFormat="1" ht="22.5" customHeight="1" thickBot="1" x14ac:dyDescent="0.3">
      <c r="B20" s="577" t="s">
        <v>259</v>
      </c>
      <c r="C20" s="578"/>
      <c r="D20" s="578"/>
      <c r="E20" s="578"/>
      <c r="F20" s="578" t="s">
        <v>260</v>
      </c>
      <c r="G20" s="578"/>
      <c r="H20" s="579"/>
      <c r="I20" s="578" t="s">
        <v>260</v>
      </c>
      <c r="J20" s="578"/>
      <c r="K20" s="579"/>
    </row>
    <row r="21" spans="2:12" customFormat="1" ht="9" customHeight="1" thickBot="1" x14ac:dyDescent="0.3">
      <c r="B21" s="580"/>
      <c r="C21" s="580"/>
      <c r="D21" s="580"/>
      <c r="E21" s="580"/>
      <c r="F21" s="580"/>
      <c r="G21" s="580"/>
      <c r="H21" s="580"/>
      <c r="I21" s="580"/>
      <c r="J21" s="580"/>
      <c r="K21" s="580"/>
    </row>
    <row r="22" spans="2:12" customFormat="1" ht="15.75" thickBot="1" x14ac:dyDescent="0.3">
      <c r="B22" s="581" t="s">
        <v>207</v>
      </c>
      <c r="C22" s="582"/>
      <c r="D22" s="583"/>
      <c r="E22" s="131" t="s">
        <v>208</v>
      </c>
      <c r="F22" s="581" t="s">
        <v>209</v>
      </c>
      <c r="G22" s="583"/>
      <c r="H22" s="132" t="s">
        <v>210</v>
      </c>
      <c r="I22" s="581" t="s">
        <v>211</v>
      </c>
      <c r="J22" s="583"/>
      <c r="K22" s="133">
        <v>1</v>
      </c>
    </row>
    <row r="23" spans="2:12" ht="8.25" customHeight="1" x14ac:dyDescent="0.25"/>
    <row r="24" spans="2:12" x14ac:dyDescent="0.25">
      <c r="B24" s="572" t="s">
        <v>261</v>
      </c>
      <c r="C24" s="572"/>
      <c r="D24" s="572"/>
      <c r="E24" s="572"/>
      <c r="F24" s="572"/>
      <c r="G24" s="572"/>
      <c r="H24" s="572"/>
      <c r="I24" s="572"/>
      <c r="J24" s="572"/>
      <c r="K24" s="572"/>
      <c r="L24" s="572"/>
    </row>
    <row r="25" spans="2:12" x14ac:dyDescent="0.25">
      <c r="B25" s="572" t="s">
        <v>262</v>
      </c>
      <c r="C25" s="572"/>
      <c r="D25" s="572"/>
      <c r="E25" s="572"/>
      <c r="F25" s="572"/>
      <c r="G25" s="572"/>
      <c r="H25" s="572"/>
      <c r="I25" s="572"/>
      <c r="J25" s="572"/>
      <c r="K25" s="572"/>
      <c r="L25" s="572"/>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10" t="s">
        <v>54</v>
      </c>
      <c r="C1" s="610"/>
      <c r="D1" s="61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11" t="s">
        <v>62</v>
      </c>
      <c r="C1" s="611"/>
      <c r="D1" s="611"/>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12" t="s">
        <v>77</v>
      </c>
      <c r="C1" s="613"/>
      <c r="D1" s="613"/>
      <c r="E1" s="613"/>
      <c r="F1" s="614"/>
    </row>
    <row r="2" spans="2:6" ht="16.5" thickBot="1" x14ac:dyDescent="0.3">
      <c r="B2" s="75"/>
      <c r="C2" s="75"/>
      <c r="D2" s="75"/>
      <c r="E2" s="75"/>
      <c r="F2" s="75"/>
    </row>
    <row r="3" spans="2:6" ht="16.5" thickBot="1" x14ac:dyDescent="0.25">
      <c r="B3" s="616" t="s">
        <v>63</v>
      </c>
      <c r="C3" s="617"/>
      <c r="D3" s="617"/>
      <c r="E3" s="87" t="s">
        <v>64</v>
      </c>
      <c r="F3" s="88" t="s">
        <v>65</v>
      </c>
    </row>
    <row r="4" spans="2:6" ht="31.5" x14ac:dyDescent="0.2">
      <c r="B4" s="618" t="s">
        <v>66</v>
      </c>
      <c r="C4" s="620" t="s">
        <v>13</v>
      </c>
      <c r="D4" s="76" t="s">
        <v>14</v>
      </c>
      <c r="E4" s="77" t="s">
        <v>67</v>
      </c>
      <c r="F4" s="78">
        <v>0.25</v>
      </c>
    </row>
    <row r="5" spans="2:6" ht="47.25" x14ac:dyDescent="0.2">
      <c r="B5" s="619"/>
      <c r="C5" s="621"/>
      <c r="D5" s="79" t="s">
        <v>15</v>
      </c>
      <c r="E5" s="80" t="s">
        <v>68</v>
      </c>
      <c r="F5" s="81">
        <v>0.15</v>
      </c>
    </row>
    <row r="6" spans="2:6" ht="47.25" x14ac:dyDescent="0.2">
      <c r="B6" s="619"/>
      <c r="C6" s="621"/>
      <c r="D6" s="79" t="s">
        <v>16</v>
      </c>
      <c r="E6" s="80" t="s">
        <v>69</v>
      </c>
      <c r="F6" s="81">
        <v>0.1</v>
      </c>
    </row>
    <row r="7" spans="2:6" ht="63" x14ac:dyDescent="0.2">
      <c r="B7" s="619"/>
      <c r="C7" s="621" t="s">
        <v>17</v>
      </c>
      <c r="D7" s="79" t="s">
        <v>10</v>
      </c>
      <c r="E7" s="80" t="s">
        <v>70</v>
      </c>
      <c r="F7" s="81">
        <v>0.25</v>
      </c>
    </row>
    <row r="8" spans="2:6" ht="31.5" x14ac:dyDescent="0.2">
      <c r="B8" s="619"/>
      <c r="C8" s="621"/>
      <c r="D8" s="79" t="s">
        <v>9</v>
      </c>
      <c r="E8" s="80" t="s">
        <v>71</v>
      </c>
      <c r="F8" s="81">
        <v>0.15</v>
      </c>
    </row>
    <row r="9" spans="2:6" ht="47.25" x14ac:dyDescent="0.2">
      <c r="B9" s="619" t="s">
        <v>158</v>
      </c>
      <c r="C9" s="621" t="s">
        <v>18</v>
      </c>
      <c r="D9" s="79" t="s">
        <v>19</v>
      </c>
      <c r="E9" s="80" t="s">
        <v>72</v>
      </c>
      <c r="F9" s="82" t="s">
        <v>73</v>
      </c>
    </row>
    <row r="10" spans="2:6" ht="63" x14ac:dyDescent="0.2">
      <c r="B10" s="619"/>
      <c r="C10" s="621"/>
      <c r="D10" s="79" t="s">
        <v>20</v>
      </c>
      <c r="E10" s="80" t="s">
        <v>74</v>
      </c>
      <c r="F10" s="82" t="s">
        <v>73</v>
      </c>
    </row>
    <row r="11" spans="2:6" ht="47.25" x14ac:dyDescent="0.2">
      <c r="B11" s="619"/>
      <c r="C11" s="621" t="s">
        <v>21</v>
      </c>
      <c r="D11" s="79" t="s">
        <v>22</v>
      </c>
      <c r="E11" s="80" t="s">
        <v>75</v>
      </c>
      <c r="F11" s="82" t="s">
        <v>73</v>
      </c>
    </row>
    <row r="12" spans="2:6" ht="47.25" x14ac:dyDescent="0.2">
      <c r="B12" s="619"/>
      <c r="C12" s="621"/>
      <c r="D12" s="79" t="s">
        <v>23</v>
      </c>
      <c r="E12" s="80" t="s">
        <v>76</v>
      </c>
      <c r="F12" s="82" t="s">
        <v>73</v>
      </c>
    </row>
    <row r="13" spans="2:6" ht="31.5" x14ac:dyDescent="0.2">
      <c r="B13" s="619"/>
      <c r="C13" s="621" t="s">
        <v>24</v>
      </c>
      <c r="D13" s="79" t="s">
        <v>118</v>
      </c>
      <c r="E13" s="80" t="s">
        <v>121</v>
      </c>
      <c r="F13" s="82" t="s">
        <v>73</v>
      </c>
    </row>
    <row r="14" spans="2:6" ht="32.25" thickBot="1" x14ac:dyDescent="0.25">
      <c r="B14" s="622"/>
      <c r="C14" s="623"/>
      <c r="D14" s="83" t="s">
        <v>119</v>
      </c>
      <c r="E14" s="84" t="s">
        <v>120</v>
      </c>
      <c r="F14" s="85" t="s">
        <v>73</v>
      </c>
    </row>
    <row r="15" spans="2:6" ht="49.5" customHeight="1" x14ac:dyDescent="0.2">
      <c r="B15" s="615" t="s">
        <v>155</v>
      </c>
      <c r="C15" s="615"/>
      <c r="D15" s="615"/>
      <c r="E15" s="615"/>
      <c r="F15" s="615"/>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Calidad ETITC</cp:lastModifiedBy>
  <cp:lastPrinted>2020-05-13T01:12:22Z</cp:lastPrinted>
  <dcterms:created xsi:type="dcterms:W3CDTF">2020-03-24T23:12:47Z</dcterms:created>
  <dcterms:modified xsi:type="dcterms:W3CDTF">2025-02-03T22:32:41Z</dcterms:modified>
</cp:coreProperties>
</file>