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24226"/>
  <mc:AlternateContent xmlns:mc="http://schemas.openxmlformats.org/markup-compatibility/2006">
    <mc:Choice Requires="x15">
      <x15ac:absPath xmlns:x15ac="http://schemas.microsoft.com/office/spreadsheetml/2010/11/ac" url="C:\Users\calidad\Downloads\"/>
    </mc:Choice>
  </mc:AlternateContent>
  <xr:revisionPtr revIDLastSave="0" documentId="13_ncr:1_{241B8A9B-76C4-4CA0-BD54-A2939FBE81AC}" xr6:coauthVersionLast="47" xr6:coauthVersionMax="47" xr10:uidLastSave="{00000000-0000-0000-0000-000000000000}"/>
  <bookViews>
    <workbookView showSheetTabs="0" xWindow="-120" yWindow="-120" windowWidth="29040" windowHeight="15840"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3" r:id="rId2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2" i="19" l="1"/>
  <c r="AB35" i="18"/>
  <c r="Z35" i="18"/>
  <c r="X35" i="18"/>
  <c r="X29" i="18"/>
  <c r="AK17" i="1"/>
  <c r="AK16" i="1"/>
  <c r="W16" i="1"/>
  <c r="X16" i="1" s="1"/>
  <c r="W17" i="1"/>
  <c r="X17" i="1" s="1"/>
  <c r="S16" i="1"/>
  <c r="T16" i="1" s="1"/>
  <c r="S17" i="1"/>
  <c r="T17" i="1" s="1"/>
  <c r="Y17" i="1" l="1"/>
  <c r="Y16" i="1"/>
  <c r="S21" i="1" l="1"/>
  <c r="T21" i="1" s="1"/>
  <c r="AC21" i="1"/>
  <c r="AO21" i="1" s="1"/>
  <c r="AN21" i="1" s="1"/>
  <c r="AF21" i="1"/>
  <c r="AK21" i="1"/>
  <c r="AL21" i="1" s="1"/>
  <c r="S22" i="1"/>
  <c r="T22" i="1" s="1"/>
  <c r="AC22" i="1"/>
  <c r="AO22" i="1" s="1"/>
  <c r="AN22" i="1" s="1"/>
  <c r="AF22" i="1"/>
  <c r="AK22" i="1"/>
  <c r="AL22" i="1" s="1"/>
  <c r="AP21" i="1" l="1"/>
  <c r="AP22" i="1"/>
  <c r="AM22" i="1"/>
  <c r="AM21" i="1"/>
  <c r="L41" i="19" l="1"/>
  <c r="AK24" i="1" l="1"/>
  <c r="AK23" i="1"/>
  <c r="AK20" i="1"/>
  <c r="AK19" i="1"/>
  <c r="AC16" i="1" l="1"/>
  <c r="AF16" i="1"/>
  <c r="AC17" i="1"/>
  <c r="AF17" i="1"/>
  <c r="S18" i="1"/>
  <c r="T18" i="1" s="1"/>
  <c r="AK18" i="1" s="1"/>
  <c r="AC18" i="1"/>
  <c r="AF18" i="1"/>
  <c r="S19" i="1"/>
  <c r="T19" i="1" s="1"/>
  <c r="AC19" i="1"/>
  <c r="AL19" i="1" s="1"/>
  <c r="AF19" i="1"/>
  <c r="S20" i="1"/>
  <c r="T20" i="1" s="1"/>
  <c r="AC20" i="1"/>
  <c r="AF20" i="1"/>
  <c r="S23" i="1"/>
  <c r="T23" i="1" s="1"/>
  <c r="AC23" i="1"/>
  <c r="AF23" i="1"/>
  <c r="S24" i="1"/>
  <c r="AC24" i="1"/>
  <c r="AO24" i="1" s="1"/>
  <c r="AN24" i="1" s="1"/>
  <c r="AF24" i="1"/>
  <c r="AF15" i="1"/>
  <c r="AC15" i="1"/>
  <c r="S15" i="1"/>
  <c r="AL23" i="1" l="1"/>
  <c r="AM23" i="1"/>
  <c r="AO23" i="1"/>
  <c r="AN23" i="1" s="1"/>
  <c r="AO19" i="1"/>
  <c r="AN19" i="1" s="1"/>
  <c r="AP19" i="1" s="1"/>
  <c r="AL20" i="1"/>
  <c r="AM20" i="1"/>
  <c r="AO20" i="1"/>
  <c r="AN20" i="1" s="1"/>
  <c r="AM19" i="1"/>
  <c r="AO16" i="1"/>
  <c r="AN16" i="1" s="1"/>
  <c r="T24" i="1"/>
  <c r="T15" i="1"/>
  <c r="AK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P23" i="1" l="1"/>
  <c r="AM17" i="1"/>
  <c r="AL17" i="1"/>
  <c r="AP20" i="1"/>
  <c r="AL18" i="1"/>
  <c r="AM18" i="1"/>
  <c r="AL24" i="1"/>
  <c r="AP24" i="1" s="1"/>
  <c r="AM24" i="1"/>
  <c r="AM15" i="1"/>
  <c r="AL15" i="1"/>
  <c r="AN13" i="18"/>
  <c r="AN29" i="18"/>
  <c r="AN37" i="18"/>
  <c r="AN21" i="18"/>
  <c r="AN45" i="18"/>
  <c r="X42" i="19" l="1"/>
  <c r="Y32" i="19"/>
  <c r="AL16" i="1"/>
  <c r="Y42" i="19" s="1"/>
  <c r="AM16" i="1"/>
  <c r="H10" i="27"/>
  <c r="G29" i="27" s="1"/>
  <c r="H9" i="27"/>
  <c r="H8" i="27"/>
  <c r="F29" i="27"/>
  <c r="E29" i="27"/>
  <c r="AP16" i="1" l="1"/>
  <c r="L52" i="19"/>
  <c r="S29" i="1"/>
  <c r="F221" i="13" l="1"/>
  <c r="F211" i="13"/>
  <c r="F212" i="13"/>
  <c r="F213" i="13"/>
  <c r="F214" i="13"/>
  <c r="F215" i="13"/>
  <c r="F216" i="13"/>
  <c r="F217" i="13"/>
  <c r="F218" i="13"/>
  <c r="F219" i="13"/>
  <c r="F220" i="13"/>
  <c r="F210" i="13"/>
  <c r="B221" i="13" a="1"/>
  <c r="B221" i="13" l="1"/>
  <c r="H210" i="13" l="1"/>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U52" i="19"/>
  <c r="U22" i="19"/>
  <c r="O12" i="19"/>
  <c r="O52" i="19"/>
  <c r="AG42" i="19"/>
  <c r="AG32" i="19"/>
  <c r="AG52" i="19"/>
  <c r="O42" i="19"/>
  <c r="O32" i="19"/>
  <c r="AG22" i="19"/>
  <c r="U12" i="19"/>
  <c r="AM12" i="19"/>
  <c r="AA22" i="19"/>
  <c r="U32" i="19"/>
  <c r="O22" i="19"/>
  <c r="AA52" i="19"/>
  <c r="AA42" i="19"/>
  <c r="AA32" i="19"/>
  <c r="AG12" i="19"/>
  <c r="U42" i="19"/>
  <c r="AM42" i="19"/>
  <c r="AM32" i="19"/>
  <c r="AA12" i="19"/>
  <c r="AM52" i="19"/>
  <c r="AM22" i="19"/>
  <c r="AD52" i="19"/>
  <c r="AJ52" i="19"/>
  <c r="R52" i="19"/>
  <c r="X52" i="19"/>
  <c r="AJ42" i="19"/>
  <c r="AD42" i="19"/>
  <c r="R42" i="19"/>
  <c r="AD32" i="19"/>
  <c r="AJ32" i="19"/>
  <c r="R32" i="19"/>
  <c r="X32" i="19"/>
  <c r="AJ22" i="19"/>
  <c r="L32" i="19"/>
  <c r="X22" i="19"/>
  <c r="AD22" i="19"/>
  <c r="L22" i="19"/>
  <c r="R22" i="19"/>
  <c r="AD12" i="19"/>
  <c r="AJ12" i="19"/>
  <c r="X12" i="19"/>
  <c r="L12" i="19"/>
  <c r="R12" i="19"/>
  <c r="V19" i="18" l="1"/>
  <c r="AH19" i="18"/>
  <c r="AN43" i="18"/>
  <c r="P27" i="18"/>
  <c r="AB43" i="18"/>
  <c r="V11" i="18"/>
  <c r="AH11" i="18"/>
  <c r="AB27" i="18"/>
  <c r="AN19" i="18"/>
  <c r="AB11" i="18"/>
  <c r="V43" i="18"/>
  <c r="AN27" i="18"/>
  <c r="AN35" i="18"/>
  <c r="V27" i="18"/>
  <c r="AH43" i="18"/>
  <c r="AO17" i="1"/>
  <c r="AN17" i="1" s="1"/>
  <c r="AH27" i="18"/>
  <c r="AB19" i="18"/>
  <c r="V35" i="18"/>
  <c r="AH35" i="18"/>
  <c r="AN11" i="18"/>
  <c r="AF35" i="18"/>
  <c r="T19" i="18"/>
  <c r="Z43" i="18"/>
  <c r="Z27" i="18"/>
  <c r="Z11" i="18"/>
  <c r="AF19" i="18"/>
  <c r="T11" i="18"/>
  <c r="T43" i="18"/>
  <c r="AL27" i="18"/>
  <c r="T27" i="18"/>
  <c r="T35" i="18"/>
  <c r="AF43" i="18"/>
  <c r="Z19" i="18"/>
  <c r="AL19" i="18"/>
  <c r="AF27" i="18"/>
  <c r="AL11" i="18"/>
  <c r="AF11" i="18"/>
  <c r="AL43" i="18"/>
  <c r="AL35" i="18"/>
  <c r="AF42" i="19" l="1"/>
  <c r="AP17" i="1"/>
  <c r="AK52" i="19"/>
  <c r="AE12" i="19"/>
  <c r="S52" i="19"/>
  <c r="S22" i="19"/>
  <c r="M12" i="19"/>
  <c r="M22" i="19"/>
  <c r="AK32" i="19"/>
  <c r="S12" i="19"/>
  <c r="AE52" i="19"/>
  <c r="AE22" i="19"/>
  <c r="S32" i="19"/>
  <c r="M32" i="19"/>
  <c r="AE32" i="19"/>
  <c r="AE42" i="19"/>
  <c r="M52" i="19"/>
  <c r="AK42" i="19"/>
  <c r="S42" i="19"/>
  <c r="L42" i="19"/>
  <c r="AK22" i="19"/>
  <c r="AK12" i="19"/>
  <c r="V16" i="1" l="1"/>
  <c r="V23" i="1"/>
  <c r="W23" i="1" s="1"/>
  <c r="V18" i="1"/>
  <c r="W18" i="1" s="1"/>
  <c r="V20" i="1"/>
  <c r="W20" i="1" s="1"/>
  <c r="V22" i="1"/>
  <c r="W22" i="1" s="1"/>
  <c r="V24" i="1"/>
  <c r="W24" i="1" s="1"/>
  <c r="V21" i="1"/>
  <c r="W21" i="1" s="1"/>
  <c r="V15" i="1"/>
  <c r="W15" i="1" s="1"/>
  <c r="V17" i="1"/>
  <c r="V19" i="1"/>
  <c r="W19" i="1" s="1"/>
  <c r="Y21" i="1" l="1"/>
  <c r="X21" i="1"/>
  <c r="T15" i="18"/>
  <c r="T31" i="18"/>
  <c r="X24" i="1"/>
  <c r="Z47" i="18"/>
  <c r="AL39" i="18"/>
  <c r="Z31" i="18"/>
  <c r="T39" i="18"/>
  <c r="AL47" i="18"/>
  <c r="AF31" i="18"/>
  <c r="AF39" i="18"/>
  <c r="Z39" i="18"/>
  <c r="AL23" i="18"/>
  <c r="Z23" i="18"/>
  <c r="AL31" i="18"/>
  <c r="T23" i="18"/>
  <c r="T47" i="18"/>
  <c r="Y24" i="1"/>
  <c r="Z15" i="18"/>
  <c r="AF47" i="18"/>
  <c r="AL15" i="18"/>
  <c r="AF23" i="18"/>
  <c r="AF15" i="18"/>
  <c r="X22" i="1"/>
  <c r="Y22" i="1"/>
  <c r="AB37" i="18"/>
  <c r="V21" i="18"/>
  <c r="AB21" i="18"/>
  <c r="X20" i="1"/>
  <c r="AH21" i="18"/>
  <c r="AH45" i="18"/>
  <c r="Y20" i="1"/>
  <c r="AH29" i="18"/>
  <c r="V45" i="18"/>
  <c r="AB45" i="18"/>
  <c r="V29" i="18"/>
  <c r="V13" i="18"/>
  <c r="V37" i="18"/>
  <c r="AB13" i="18"/>
  <c r="AH13" i="18"/>
  <c r="AH37" i="18"/>
  <c r="AB29" i="18"/>
  <c r="R21" i="18"/>
  <c r="L21" i="18"/>
  <c r="X21" i="18"/>
  <c r="X37" i="18"/>
  <c r="AD45" i="18"/>
  <c r="Y18" i="1"/>
  <c r="L45" i="18"/>
  <c r="AJ29" i="18"/>
  <c r="X18" i="1"/>
  <c r="AO18" i="1" s="1"/>
  <c r="AN18" i="1" s="1"/>
  <c r="X45" i="18"/>
  <c r="AD37" i="18"/>
  <c r="AD21" i="18"/>
  <c r="L13" i="18"/>
  <c r="R29" i="18"/>
  <c r="R37" i="18"/>
  <c r="AJ21" i="18"/>
  <c r="X13" i="18"/>
  <c r="AD13" i="18"/>
  <c r="AJ13" i="18"/>
  <c r="L37" i="18"/>
  <c r="R13" i="18"/>
  <c r="L29" i="18"/>
  <c r="AJ37" i="18"/>
  <c r="AD29" i="18"/>
  <c r="R45" i="18"/>
  <c r="AJ45" i="18"/>
  <c r="AF21" i="18"/>
  <c r="AF37" i="18"/>
  <c r="AF45" i="18"/>
  <c r="T13" i="18"/>
  <c r="AF13" i="18"/>
  <c r="Z13" i="18"/>
  <c r="Z21" i="18"/>
  <c r="Z29" i="18"/>
  <c r="AL45" i="18"/>
  <c r="T45" i="18"/>
  <c r="X19" i="1"/>
  <c r="Z45" i="18"/>
  <c r="T37" i="18"/>
  <c r="AL21" i="18"/>
  <c r="T21" i="18"/>
  <c r="AL13" i="18"/>
  <c r="AF29" i="18"/>
  <c r="Z37" i="18"/>
  <c r="AL37" i="18"/>
  <c r="Y19" i="1"/>
  <c r="AL29" i="18"/>
  <c r="T29" i="18"/>
  <c r="Y23" i="1"/>
  <c r="X23" i="1"/>
  <c r="AD15" i="18"/>
  <c r="AJ39" i="18"/>
  <c r="R39" i="18"/>
  <c r="X31" i="18"/>
  <c r="R23" i="18"/>
  <c r="AD31" i="18"/>
  <c r="L31" i="18"/>
  <c r="AJ23" i="18"/>
  <c r="AJ15" i="18"/>
  <c r="AD47" i="18"/>
  <c r="X39" i="18"/>
  <c r="L15" i="18"/>
  <c r="X23" i="18"/>
  <c r="R15" i="18"/>
  <c r="L47" i="18"/>
  <c r="R31" i="18"/>
  <c r="X47" i="18"/>
  <c r="L39" i="18"/>
  <c r="L23" i="18"/>
  <c r="AJ47" i="18"/>
  <c r="X15" i="18"/>
  <c r="AD23" i="18"/>
  <c r="AD39" i="18"/>
  <c r="AJ31" i="18"/>
  <c r="Y15" i="1"/>
  <c r="AD11" i="18"/>
  <c r="AJ43" i="18"/>
  <c r="X15" i="1"/>
  <c r="AO15" i="1" s="1"/>
  <c r="AN15" i="1" s="1"/>
  <c r="AJ11" i="18"/>
  <c r="X11" i="18"/>
  <c r="AJ19" i="18"/>
  <c r="X27" i="18"/>
  <c r="X19" i="18"/>
  <c r="AJ35" i="18"/>
  <c r="R19" i="18"/>
  <c r="L11" i="18"/>
  <c r="AD43" i="18"/>
  <c r="R11" i="18"/>
  <c r="AD19" i="18"/>
  <c r="L19" i="18"/>
  <c r="AJ27" i="18"/>
  <c r="R35" i="18"/>
  <c r="AD35" i="18"/>
  <c r="R27" i="18"/>
  <c r="R43" i="18"/>
  <c r="L35" i="18"/>
  <c r="AD27" i="18"/>
  <c r="L27" i="18"/>
  <c r="L43" i="18"/>
  <c r="X43" i="18"/>
  <c r="Z42" i="19" l="1"/>
  <c r="AP18" i="1"/>
  <c r="M42" i="19"/>
  <c r="N42" i="19"/>
  <c r="AL32" i="19"/>
  <c r="N32" i="19"/>
  <c r="T12" i="19"/>
  <c r="AF52" i="19"/>
  <c r="AF22" i="19"/>
  <c r="AL52" i="19"/>
  <c r="N22" i="19"/>
  <c r="T42" i="19"/>
  <c r="AL12" i="19"/>
  <c r="AL42" i="19"/>
  <c r="T32" i="19"/>
  <c r="Z12" i="19"/>
  <c r="AF32" i="19"/>
  <c r="AL22" i="19"/>
  <c r="Z52" i="19"/>
  <c r="T22" i="19"/>
  <c r="Z32" i="19"/>
  <c r="N12" i="19"/>
  <c r="Z22" i="19"/>
  <c r="N52" i="19"/>
  <c r="AF12" i="19"/>
  <c r="T52" i="19"/>
  <c r="K32" i="19"/>
  <c r="AI52" i="19"/>
  <c r="W52" i="19"/>
  <c r="Q22" i="19"/>
  <c r="W12" i="19"/>
  <c r="AC32" i="19"/>
  <c r="AI22" i="19"/>
  <c r="W32" i="19"/>
  <c r="AP15" i="1"/>
  <c r="K12" i="19"/>
  <c r="Q42" i="19"/>
  <c r="AC22" i="19"/>
  <c r="Q32" i="19"/>
  <c r="AC12" i="19"/>
  <c r="W22" i="19"/>
  <c r="Q12" i="19"/>
  <c r="Q52" i="19"/>
  <c r="AI42" i="19"/>
  <c r="K42" i="19"/>
  <c r="K52" i="19"/>
  <c r="AI12" i="19"/>
  <c r="AC52" i="19"/>
  <c r="K22" i="19"/>
  <c r="AC42" i="19"/>
  <c r="AI3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N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<sst xmlns="http://schemas.openxmlformats.org/spreadsheetml/2006/main" count="722" uniqueCount="442">
  <si>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</si>
  <si>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</si>
  <si>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</si>
  <si>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</si>
  <si>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</si>
  <si>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</si>
  <si>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</si>
  <si>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</si>
  <si>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</si>
  <si>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</si>
  <si>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</si>
  <si>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</si>
  <si>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</si>
  <si>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</si>
  <si>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</si>
  <si>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</si>
  <si>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</si>
  <si>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</si>
  <si>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</si>
  <si>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</si>
  <si>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</si>
  <si>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</si>
  <si>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</si>
  <si>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</si>
  <si>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</si>
  <si>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</si>
  <si>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</si>
  <si>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</si>
  <si>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</si>
  <si>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</si>
  <si>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</si>
  <si>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</si>
  <si>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</si>
  <si>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</si>
  <si>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</si>
  <si>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</si>
  <si>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</si>
  <si>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</si>
  <si>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</si>
  <si>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</si>
  <si>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</si>
  <si>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</si>
  <si>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</si>
  <si>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</si>
  <si>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</si>
  <si>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</si>
  <si>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</si>
  <si>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</si>
  <si>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</si>
  <si>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</si>
  <si>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</si>
  <si>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</si>
  <si>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</si>
  <si>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</si>
  <si>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</si>
  <si>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</si>
  <si>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</si>
  <si>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</si>
  <si>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</si>
  <si>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</si>
  <si>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</si>
  <si>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</si>
  <si>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</si>
  <si>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</si>
  <si>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</si>
  <si>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</si>
  <si>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</si>
  <si>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</si>
  <si>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</si>
  <si>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</si>
  <si>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</si>
  <si>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</si>
  <si>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</si>
  <si>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</si>
  <si>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</si>
  <si>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</si>
  <si>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</si>
  <si>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</si>
  <si>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</si>
  <si>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</si>
  <si>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</si>
  <si>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</si>
  <si>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</si>
  <si>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</si>
  <si>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</si>
  <si>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</si>
  <si>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</si>
  <si>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</si>
  <si>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</si>
  <si>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</si>
  <si>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</si>
  <si>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</si>
  <si>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</si>
  <si>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</si>
  <si>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</si>
  <si>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</si>
  <si>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</si>
  <si>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</si>
  <si>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</si>
  <si>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</si>
  <si>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</si>
  <si>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</si>
  <si>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</si>
  <si>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</si>
  <si>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</si>
  <si>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</si>
  <si>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</si>
  <si>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</si>
  <si>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</si>
  <si>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</si>
  <si>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</si>
  <si>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</si>
  <si>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</si>
  <si>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</si>
  <si>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</si>
  <si>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</si>
  <si>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</si>
  <si>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</si>
  <si>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</si>
  <si>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</si>
  <si>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</si>
  <si>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</si>
  <si>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</si>
  <si>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</si>
  <si>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</si>
  <si>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</si>
  <si>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</si>
  <si>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</si>
  <si>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</si>
  <si>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</si>
  <si>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</si>
  <si>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</si>
  <si>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</si>
  <si>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</si>
  <si>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</si>
  <si>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</si>
  <si>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</si>
  <si>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</si>
  <si>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</si>
  <si>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</si>
  <si>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</si>
  <si>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</si>
  <si>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</si>
  <si>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</si>
  <si>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</si>
  <si>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</si>
  <si>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</si>
  <si>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</si>
  <si>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</si>
  <si>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</si>
  <si>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</si>
  <si>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</si>
  <si>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</si>
  <si>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</si>
  <si>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</si>
  <si>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</si>
  <si>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</si>
  <si>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</si>
  <si>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</si>
  <si>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</si>
  <si>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</si>
  <si>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</si>
  <si>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</si>
  <si>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</si>
  <si>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</si>
  <si>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</si>
  <si>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</si>
  <si>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</si>
  <si>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</si>
  <si>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</si>
  <si>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</si>
  <si>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</si>
  <si>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</si>
  <si>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</si>
  <si>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</si>
  <si>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</si>
  <si>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</si>
  <si>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</si>
  <si>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</si>
  <si>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</si>
  <si>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</si>
  <si>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</si>
  <si>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</si>
  <si>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</si>
  <si>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</si>
  <si>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</si>
  <si>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</si>
  <si>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</si>
  <si>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</si>
  <si>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</si>
  <si>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</si>
  <si>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</si>
  <si>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</si>
  <si>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</si>
  <si>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</si>
  <si>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</si>
  <si>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</si>
  <si>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</si>
  <si>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</si>
  <si>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</si>
  <si>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</si>
  <si>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</si>
  <si>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</si>
  <si>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</si>
  <si>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</si>
  <si>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</si>
  <si>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</si>
  <si>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</si>
  <si>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</si>
  <si>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</si>
  <si>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</si>
  <si>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</si>
  <si>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</si>
  <si>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</si>
  <si>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</si>
  <si>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</si>
  <si>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</si>
  <si>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</si>
  <si>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</si>
  <si>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</si>
  <si>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</si>
  <si>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</si>
  <si>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</si>
  <si>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</si>
  <si>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</si>
  <si>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</si>
  <si>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</si>
  <si>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</si>
  <si>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</si>
  <si>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</si>
  <si>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</si>
  <si>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</si>
  <si>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</si>
  <si>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</si>
  <si>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</si>
  <si>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</si>
  <si>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</si>
  <si>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</si>
  <si>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</si>
  <si>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</si>
  <si>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</si>
  <si>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</si>
  <si>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</si>
  <si>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</si>
  <si>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</si>
  <si>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</si>
  <si>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</si>
  <si>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</si>
  <si>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</si>
  <si>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</si>
  <si>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</si>
  <si>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</si>
  <si>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</si>
  <si>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</si>
  <si>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</si>
  <si>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</si>
  <si>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</si>
  <si>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</si>
  <si>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</si>
  <si>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</si>
  <si>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</si>
  <si>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</si>
  <si>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</si>
  <si>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</si>
  <si>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</si>
  <si>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</si>
  <si>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</si>
  <si>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</si>
  <si>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</si>
  <si>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</si>
  <si>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</si>
  <si>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</si>
  <si>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</si>
  <si>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</si>
  <si>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</si>
  <si>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</si>
  <si>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</si>
  <si>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</si>
  <si>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</si>
  <si>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</si>
  <si>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</si>
  <si>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</si>
  <si>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</si>
  <si>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</si>
  <si>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</si>
  <si>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</si>
  <si>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</si>
  <si>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</si>
  <si>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</si>
  <si>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</si>
  <si>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</si>
  <si>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</si>
  <si>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</si>
  <si>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</si>
  <si>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</si>
  <si>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</si>
  <si>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</si>
  <si>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</si>
  <si>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</si>
  <si>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</si>
  <si>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</si>
  <si>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</si>
  <si>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</si>
  <si>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</si>
  <si>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</si>
  <si>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</si>
  <si>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</si>
  <si>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</si>
  <si>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</si>
  <si>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</si>
  <si>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</si>
  <si>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</si>
  <si>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</si>
  <si>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</si>
  <si>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</si>
  <si>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</si>
  <si>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</si>
  <si>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</si>
  <si>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</si>
  <si>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</si>
  <si>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</si>
  <si>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</si>
  <si>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</si>
  <si>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</si>
  <si>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</si>
  <si>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</si>
  <si>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</si>
  <si>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</si>
  <si>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</si>
  <si>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</si>
  <si>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</si>
  <si>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</si>
  <si>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</si>
  <si>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</si>
  <si>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</si>
  <si>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</si>
  <si>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</si>
  <si>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</si>
  <si>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</si>
  <si>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</si>
  <si>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</si>
  <si>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</si>
  <si>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</si>
  <si>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</si>
  <si>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</si>
  <si>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</si>
  <si>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</si>
  <si>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</si>
  <si>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</si>
  <si>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</si>
  <si>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</si>
  <si>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</si>
  <si>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</si>
  <si>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</si>
  <si>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</si>
  <si>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</si>
  <si>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</si>
  <si>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</si>
  <si>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</si>
  <si>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</si>
  <si>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</si>
  <si>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</si>
  <si>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</si>
  <si>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</si>
  <si>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</si>
  <si>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</si>
  <si>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</si>
  <si>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</si>
  <si>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</si>
  <si>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</si>
  <si>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</si>
  <si>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</si>
  <si>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</si>
  <si>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</si>
  <si>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</si>
  <si>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</si>
  <si>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</si>
  <si>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</si>
  <si>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</si>
  <si>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</si>
  <si>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</si>
  <si>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</si>
  <si>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</si>
  <si>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</si>
  <si>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</si>
  <si>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</si>
  <si>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</si>
  <si>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</si>
  <si>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</si>
  <si>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</si>
  <si>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</si>
  <si>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</si>
  <si>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</si>
  <si>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</si>
  <si>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Líder de Proceso</t>
  </si>
  <si>
    <t>Se actualizó formato a versión No 8</t>
  </si>
  <si>
    <t>CAUSA (VULNERABILIDADES)</t>
  </si>
  <si>
    <t>Amenazas</t>
  </si>
  <si>
    <t xml:space="preserve">Servicios, Software, Hardware </t>
  </si>
  <si>
    <t xml:space="preserve">Servicios, Software, Documental </t>
  </si>
  <si>
    <t xml:space="preserve">Servicios, Software, Hardware, Documental </t>
  </si>
  <si>
    <t xml:space="preserve">Plan de Contingencia </t>
  </si>
  <si>
    <t>Vinculación de los servidores publico sin cumplir requisitos</t>
  </si>
  <si>
    <t>Inicio de las labores de los docentes de catedra sin formalización de la vinculación.</t>
  </si>
  <si>
    <t>Incumplimiento procedimiento de nómina</t>
  </si>
  <si>
    <t>Incumplimiento del Plan de Talento Humano (PIC, PPHT, PAV, PSST, PBLI)</t>
  </si>
  <si>
    <t>Incumplimiento del proceso de selección y vinculación, el manual de funciones y  competencias, de los procedimientos de selección y normatividad vigente</t>
  </si>
  <si>
    <t xml:space="preserve">No se cumplen con los tiempos  para afiliación a la seguridad social </t>
  </si>
  <si>
    <t>Ausencia de  controles adecuados para cada una de las nóminas una vez liquidadas</t>
  </si>
  <si>
    <t>Incumplimiento de las actividades programadas para la vigencia</t>
  </si>
  <si>
    <t>Posibilidad de afectación económica y reputacional por seleccionar un determinado candidato obviando el perfil y algunos requisitos para la vinculación, para beneficio propio o de terceros.</t>
  </si>
  <si>
    <t xml:space="preserve">Posibilidad de afectación económica y reputacional por el inicio de las labores de los docentes de catedra por la no formalización de la vinculación, debido al no cumplimiento de los tiempos de afiliación a la seguridad social. </t>
  </si>
  <si>
    <t>Posibilidad de afectación económica por el incumplimiento del procedimiento de nómina, debido a la ausencia de controles para cada una de las nóminas una vez liquidadas.</t>
  </si>
  <si>
    <t>N/A</t>
  </si>
  <si>
    <t>El profesional especializado de Selección y Vinculación, cada vez que se realice una nueva vinculación verificará el cumplimiento del procedimiento de selección y vinculación, con el fin de garantizar la selección objetiva del talento humano nuevo que se vincule a la ETITC.
En caso de que el profesional especializado de Selección y Vinculación identifique un potencial conflicto de intereses con el candidato a vincular, debe declararse impedido para continuar con el proceso de selección.</t>
  </si>
  <si>
    <t xml:space="preserve">Formatos diligenciados:
- GTH-FO-10 Matriz de Evaluación de Candidatos
- GTH-FO-11 Entrevista Preliminar
- GTH-FO-12 Informe Entrevista y Pruebas Psicotécnicas
- GTH-FO-21 Listado de Chequeo Documentos de Ingreso 
- GTH-FO-22 Declaración de situaciones de conflicto de interés (en caso de que aplique)
</t>
  </si>
  <si>
    <t>El profesional asignado del área de Talento Humano, semestralmente verificará el envío por parte del Vicerrector Académico de la relación de docentes hora cátedra antes de iniciar labores mediante correo electrónico, con el fin realizar la vinculación oportuna a la ARL y seguridad social.
En caso de que el Vicerrector Académico no suministre la relación de docentes de hora cátedra oportunamente, el profesional asignado del área de Talento Humano solicitará la información mediante correo electrónico.</t>
  </si>
  <si>
    <t>Evidencia audiovisual de las reuniones  programadas y realizadas de manera mensual.
Nóminas mensuales firmadas y aprobadas.</t>
  </si>
  <si>
    <t>El líder del proceso de Gestión de Talento Humano, semestralmente verificará el cumplimiento de los planes que integran el Plan Estratégico de Talento Humano: Plan Institucional de Capacitación, Plan de Previsión del Talento Humano, Plan Anual de Vacantes, Plan de Seguridad y Salud en el Trabajo, y el Programa de Bienestar Laboral e Incentivos, con el fin de garantizar su ejecución oportuna.
Si el líder del proceso identifica rezago en el cumplimiento de las actividades de alguno de los planes, hace los ajustes pertinentes o acelera la ejecución de actividades, según aplique.</t>
  </si>
  <si>
    <t xml:space="preserve">Por identificar </t>
  </si>
  <si>
    <t xml:space="preserve">GTH-PC-01 Selección, Vinculación y Retiro de Personal </t>
  </si>
  <si>
    <t>No se encuentra documentado</t>
  </si>
  <si>
    <t xml:space="preserve">Vinculación de nuevo personal acorde al procedimiento GTH-PC-01 Selección, Vinculación y Retiro de Personal </t>
  </si>
  <si>
    <t>Profesional de Talento Humano</t>
  </si>
  <si>
    <t>Documentar el control en un procedimiento institucional.</t>
  </si>
  <si>
    <t>Profesional de Talento Humano, nomina</t>
  </si>
  <si>
    <t>Verificar la realización de las actividades desarrolladas en cada uno de los planes que componen el Plan Estratégico de Talento Humano</t>
  </si>
  <si>
    <t>GESTIÓN DE TALENTO HUMANO</t>
  </si>
  <si>
    <t>Inicia con el requerimiento de personal de las diferentes áreas, continuando con la selección, vinculación, inducción, capacitación y formación, evaluación de desempeño, Bienestar Laboral e incentivos y termina con la desvinculación laboral</t>
  </si>
  <si>
    <r>
      <rPr>
        <b/>
        <sz val="14"/>
        <rFont val="Arial"/>
        <family val="2"/>
      </rPr>
      <t>LIDER DEL PROCESO:</t>
    </r>
    <r>
      <rPr>
        <sz val="14"/>
        <rFont val="Arial"/>
        <family val="2"/>
      </rPr>
      <t xml:space="preserve">  Lucibeth Blanchar Maestre+D28+AC15:BE18+AC15:BF18+AC15:BE18</t>
    </r>
  </si>
  <si>
    <t>Generar políticas e Implementar planes y programas de la Gestión del Talento Humano bajo el principio de Justicia, equidad y trasparencia, al realizar, selección, vinculación, inducción, capacitación y formación, evaluación de Desempeño, Bienestar Laboral e incentivos y retiro, Desarrollando y generando conciencia en la seguridad y salud en el trabajo y el desempeño ambiental en los servidores públicos de la ETITC, bajo el marco de la normatividad legal vigente que conlleve al cumplimiento de los objetivos estratégicos de la institución</t>
  </si>
  <si>
    <t>Subcausas de la causa raíz</t>
  </si>
  <si>
    <t xml:space="preserve">Seguridad de la Información </t>
  </si>
  <si>
    <t>Ejecución y Administración de procesos</t>
  </si>
  <si>
    <t>Soportes de afiliación de docentes de hora cátedra a la ARL y seguridad social, antes de inicio de labores.
Correo  donde se solicita  a la Vicerrectoría Académica  el envió  de la carga Académica de los docentes, cuando no se envíe la relación oportunamente.</t>
  </si>
  <si>
    <t>Profesional apoyo vice académica. Profesional talento humano</t>
  </si>
  <si>
    <t>El Coordinador del Grupo de Talento Humano mensualmente verificará la nómina  con el Grupo Financiero (Contabilidad, Presupuesto y Tesorería), a partir de la proyección de cada nómina por parte del grupo de Talento Humano, con la finalidad de validar las cifras proyectadas con el Grupo Financiero.
Si el Grupo Financiero identifica alguna novedad en las nóminas proyectadas por parte del Grupo de Talento Humano, realizará las observaciones para los ajustes pertinentes, previo a las firmas respectivas.</t>
  </si>
  <si>
    <t>Posibilidad de afectación económica y reputacional por incumplimiento del Plan Estratégico de Talento humano, debido a la no realización de las actividades programadas para la vigencia</t>
  </si>
  <si>
    <t>Soporte audiovisual de reuniones entre la líder del proceso y los responsables de ejecución de cada plan.
Estadísticas  de cumplimiento de los planes.</t>
  </si>
  <si>
    <t>Profesional  de Bienestar Laboral y capacitación, Profesional de Talento Humano</t>
  </si>
  <si>
    <r>
      <rPr>
        <b/>
        <sz val="14"/>
        <rFont val="Arial"/>
        <family val="2"/>
      </rPr>
      <t>LÍDER DEL PROCESO:</t>
    </r>
    <r>
      <rPr>
        <sz val="14"/>
        <rFont val="Arial"/>
        <family val="2"/>
      </rPr>
      <t xml:space="preserve">  </t>
    </r>
  </si>
  <si>
    <t>Lucibeth Blanchar Maestre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</si>
</sst>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
      <left style="thin">
        <color indexed="64"/>
      </left>
      <right style="medium">
        <color indexed="64"/>
      </right>
      <top style="medium">
        <color indexed="64"/>
      </top>
      <bottom style="thin">
        <color indexed="64"/>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40">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7" fillId="16" borderId="21" xfId="0" applyFont="1" applyFill="1" applyBorder="1" applyAlignment="1">
      <alignment horizontal="center" vertical="center" wrapText="1"/>
    </xf>
    <xf numFmtId="0" fontId="66" fillId="0" borderId="21" xfId="0" applyFont="1" applyBorder="1" applyAlignment="1">
      <alignment vertical="center" wrapText="1"/>
    </xf>
    <xf numFmtId="0" fontId="66" fillId="0" borderId="21" xfId="0" applyFont="1" applyBorder="1" applyAlignment="1" applyProtection="1">
      <alignment vertical="center" wrapText="1"/>
      <protection locked="0"/>
    </xf>
    <xf numFmtId="164" fontId="99" fillId="0" borderId="21" xfId="1" applyNumberFormat="1" applyFont="1" applyBorder="1" applyAlignment="1">
      <alignment horizontal="center" vertical="center"/>
    </xf>
    <xf numFmtId="9" fontId="99" fillId="0" borderId="21" xfId="1" applyFont="1" applyBorder="1" applyAlignment="1">
      <alignment horizontal="center" vertical="center" wrapText="1"/>
    </xf>
    <xf numFmtId="164" fontId="66" fillId="0" borderId="21" xfId="1" applyNumberFormat="1" applyFont="1" applyBorder="1" applyAlignment="1">
      <alignment horizontal="center" vertical="top" wrapText="1"/>
    </xf>
    <xf numFmtId="0" fontId="99" fillId="0" borderId="21"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14" fontId="66" fillId="0" borderId="110" xfId="0" applyNumberFormat="1"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hidden="1"/>
    </xf>
    <xf numFmtId="0" fontId="66" fillId="0" borderId="110" xfId="0" applyFont="1" applyBorder="1" applyAlignment="1" applyProtection="1">
      <alignment horizontal="center" vertical="center" textRotation="90" wrapText="1"/>
      <protection locked="0"/>
    </xf>
    <xf numFmtId="164" fontId="66" fillId="0" borderId="110" xfId="1" applyNumberFormat="1" applyFont="1" applyBorder="1" applyAlignment="1">
      <alignment horizontal="center" vertical="top" wrapText="1"/>
    </xf>
    <xf numFmtId="0" fontId="77" fillId="0" borderId="110" xfId="0" applyFont="1" applyBorder="1" applyAlignment="1" applyProtection="1">
      <alignment horizontal="center" vertical="center" textRotation="90" wrapText="1"/>
      <protection hidden="1"/>
    </xf>
    <xf numFmtId="0" fontId="99"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99" fillId="0" borderId="21" xfId="0" applyFont="1" applyBorder="1" applyAlignment="1" applyProtection="1">
      <alignment horizontal="left" vertical="top"/>
      <protection locked="0"/>
    </xf>
    <xf numFmtId="0" fontId="99" fillId="0" borderId="21" xfId="0" applyFont="1" applyBorder="1" applyAlignment="1">
      <alignment horizontal="left" vertical="top"/>
    </xf>
    <xf numFmtId="0" fontId="46" fillId="0" borderId="21" xfId="0" applyFont="1" applyBorder="1" applyAlignment="1" applyProtection="1">
      <alignment horizontal="left" vertical="top" wrapText="1"/>
      <protection locked="0"/>
    </xf>
    <xf numFmtId="0" fontId="101" fillId="0" borderId="21" xfId="0" applyFont="1" applyBorder="1" applyAlignment="1" applyProtection="1">
      <alignment horizontal="left" vertical="top" wrapText="1"/>
      <protection locked="0"/>
    </xf>
    <xf numFmtId="0" fontId="63" fillId="0" borderId="7" xfId="0" applyFont="1" applyBorder="1" applyAlignment="1">
      <alignment horizontal="center" wrapText="1"/>
    </xf>
    <xf numFmtId="0" fontId="63" fillId="0" borderId="9" xfId="0" applyFont="1" applyBorder="1" applyAlignment="1">
      <alignment horizontal="center" wrapText="1"/>
    </xf>
    <xf numFmtId="0" fontId="63" fillId="0" borderId="5" xfId="0" applyFont="1" applyBorder="1" applyAlignment="1">
      <alignment horizontal="center" wrapText="1"/>
    </xf>
    <xf numFmtId="0" fontId="99" fillId="0" borderId="21"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99" fillId="0" borderId="21" xfId="0" applyFont="1" applyBorder="1" applyAlignment="1" applyProtection="1">
      <alignment vertical="top"/>
      <protection locked="0"/>
    </xf>
    <xf numFmtId="0" fontId="77" fillId="0" borderId="21" xfId="0" applyFont="1" applyBorder="1" applyAlignment="1" applyProtection="1">
      <alignment vertical="center" wrapText="1"/>
      <protection hidden="1"/>
    </xf>
    <xf numFmtId="9" fontId="66" fillId="0" borderId="21" xfId="0" applyNumberFormat="1" applyFont="1" applyBorder="1" applyAlignment="1" applyProtection="1">
      <alignment vertical="center" wrapText="1"/>
      <protection hidden="1"/>
    </xf>
    <xf numFmtId="9" fontId="66" fillId="0" borderId="21" xfId="0" applyNumberFormat="1" applyFont="1" applyBorder="1" applyAlignment="1" applyProtection="1">
      <alignment vertical="center" wrapText="1"/>
      <protection locked="0"/>
    </xf>
    <xf numFmtId="0" fontId="3" fillId="0" borderId="21" xfId="0" applyFont="1" applyBorder="1" applyAlignment="1" applyProtection="1">
      <alignment vertical="center" wrapText="1"/>
      <protection hidden="1"/>
    </xf>
    <xf numFmtId="0" fontId="63" fillId="0" borderId="0" xfId="0" applyFont="1" applyAlignment="1">
      <alignment horizontal="center" wrapText="1"/>
    </xf>
    <xf numFmtId="0" fontId="66" fillId="0" borderId="65" xfId="0" applyFont="1" applyBorder="1" applyAlignment="1">
      <alignment horizontal="center" vertical="center"/>
    </xf>
    <xf numFmtId="0" fontId="97" fillId="19" borderId="68" xfId="0" applyFont="1" applyFill="1" applyBorder="1" applyAlignment="1">
      <alignment horizontal="center" vertical="center" wrapText="1"/>
    </xf>
    <xf numFmtId="0" fontId="63" fillId="0" borderId="12" xfId="0" applyFont="1" applyBorder="1" applyAlignment="1">
      <alignment horizontal="center" wrapText="1"/>
    </xf>
    <xf numFmtId="0" fontId="63" fillId="0" borderId="11" xfId="0" applyFont="1" applyBorder="1" applyAlignment="1">
      <alignment horizontal="center" wrapText="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66" fillId="0" borderId="110" xfId="0" applyFont="1" applyBorder="1" applyAlignment="1">
      <alignment horizontal="center" vertical="center" wrapText="1"/>
    </xf>
    <xf numFmtId="0" fontId="66" fillId="0" borderId="22" xfId="0" applyFont="1" applyBorder="1" applyAlignment="1">
      <alignment horizontal="center" vertical="center" wrapText="1"/>
    </xf>
    <xf numFmtId="0" fontId="97" fillId="19" borderId="68" xfId="0" applyFont="1" applyFill="1" applyBorder="1" applyAlignment="1">
      <alignment horizontal="center" vertical="center" wrapText="1"/>
    </xf>
    <xf numFmtId="0" fontId="97" fillId="19" borderId="69"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8" fillId="19" borderId="68" xfId="0" applyFont="1" applyFill="1" applyBorder="1" applyAlignment="1">
      <alignment horizontal="center" vertical="center" wrapText="1"/>
    </xf>
    <xf numFmtId="0" fontId="98"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88" fillId="19" borderId="21" xfId="0" applyFont="1" applyFill="1" applyBorder="1" applyAlignment="1">
      <alignment horizontal="center" vertical="center" wrapText="1"/>
    </xf>
    <xf numFmtId="0" fontId="88" fillId="16" borderId="21" xfId="0" applyFont="1" applyFill="1" applyBorder="1" applyAlignment="1">
      <alignment horizontal="center" vertical="center" wrapText="1"/>
    </xf>
    <xf numFmtId="0" fontId="88" fillId="16" borderId="21" xfId="0" applyFont="1" applyFill="1" applyBorder="1" applyAlignment="1">
      <alignment horizontal="center" vertical="center"/>
    </xf>
    <xf numFmtId="0" fontId="55" fillId="0" borderId="67"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88" fillId="16" borderId="21" xfId="0" applyFont="1" applyFill="1" applyBorder="1" applyAlignment="1">
      <alignment horizontal="center" vertical="center" textRotation="90" wrapText="1"/>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109" xfId="0" applyFont="1" applyBorder="1" applyAlignment="1" applyProtection="1">
      <alignment horizontal="center" vertical="center"/>
      <protection locked="0"/>
    </xf>
    <xf numFmtId="0" fontId="92" fillId="0" borderId="113" xfId="0" applyFont="1" applyBorder="1" applyAlignment="1" applyProtection="1">
      <alignment horizontal="center" vertical="center"/>
      <protection locked="0"/>
    </xf>
    <xf numFmtId="0" fontId="92" fillId="0" borderId="21" xfId="0" applyFont="1" applyBorder="1" applyAlignment="1" applyProtection="1">
      <alignment horizontal="center" vertical="center"/>
      <protection locked="0"/>
    </xf>
    <xf numFmtId="0" fontId="92" fillId="0" borderId="26" xfId="0" applyFont="1" applyBorder="1" applyAlignment="1" applyProtection="1">
      <alignment horizontal="center" vertical="center"/>
      <protection locked="0"/>
    </xf>
    <xf numFmtId="0" fontId="92" fillId="0" borderId="28" xfId="0" applyFont="1" applyBorder="1" applyAlignment="1" applyProtection="1">
      <alignment horizontal="center" vertical="center"/>
      <protection locked="0"/>
    </xf>
    <xf numFmtId="0" fontId="92" fillId="0" borderId="29" xfId="0" applyFont="1" applyBorder="1" applyAlignment="1" applyProtection="1">
      <alignment horizontal="center" vertical="center"/>
      <protection locked="0"/>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22" xfId="0" applyFont="1" applyFill="1" applyBorder="1" applyAlignment="1">
      <alignment horizontal="center" vertical="center"/>
    </xf>
    <xf numFmtId="0" fontId="59" fillId="0" borderId="70" xfId="0" applyFont="1" applyBorder="1" applyAlignment="1">
      <alignment horizontal="center" vertical="center" wrapText="1"/>
    </xf>
    <xf numFmtId="0" fontId="96" fillId="0" borderId="68" xfId="0" applyFont="1" applyBorder="1" applyAlignment="1">
      <alignment horizontal="left" vertical="center" wrapText="1"/>
    </xf>
    <xf numFmtId="0" fontId="96" fillId="0" borderId="67" xfId="0" applyFont="1" applyBorder="1" applyAlignment="1">
      <alignment horizontal="left" vertical="center" wrapText="1"/>
    </xf>
    <xf numFmtId="0" fontId="96" fillId="0" borderId="69" xfId="0" applyFont="1" applyBorder="1" applyAlignment="1">
      <alignment horizontal="left" vertical="center" wrapText="1"/>
    </xf>
    <xf numFmtId="0" fontId="60" fillId="0" borderId="70" xfId="0" applyFont="1" applyBorder="1" applyAlignment="1">
      <alignment horizontal="center" vertical="center" wrapText="1"/>
    </xf>
    <xf numFmtId="0" fontId="95" fillId="0" borderId="21" xfId="0" applyFont="1" applyBorder="1" applyAlignment="1">
      <alignment horizontal="left" vertical="center" wrapText="1"/>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23" fillId="0" borderId="0" xfId="0" applyFont="1" applyAlignment="1">
      <alignment horizontal="center" vertical="center" wrapText="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6" fillId="25" borderId="0" xfId="0" applyFont="1" applyFill="1" applyAlignment="1">
      <alignment horizontal="center" vertical="center" wrapText="1" readingOrder="1"/>
    </xf>
    <xf numFmtId="0" fontId="62" fillId="0" borderId="0" xfId="0" applyFont="1" applyAlignment="1">
      <alignment horizontal="center"/>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wrapText="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88" fillId="16" borderId="110" xfId="0" applyFont="1" applyFill="1" applyBorder="1" applyAlignment="1">
      <alignment horizontal="center" vertical="center"/>
    </xf>
    <xf numFmtId="0" fontId="88" fillId="16" borderId="68" xfId="0" applyFont="1" applyFill="1" applyBorder="1" applyAlignment="1">
      <alignment horizontal="center" vertical="center"/>
    </xf>
    <xf numFmtId="0" fontId="88" fillId="16" borderId="67" xfId="0" applyFont="1" applyFill="1" applyBorder="1" applyAlignment="1">
      <alignment horizontal="center" vertical="center"/>
    </xf>
    <xf numFmtId="0" fontId="66" fillId="0" borderId="110" xfId="0" applyFont="1" applyBorder="1" applyAlignment="1">
      <alignment vertical="center" wrapText="1"/>
    </xf>
    <xf numFmtId="0" fontId="66" fillId="0" borderId="22" xfId="0" applyFont="1" applyBorder="1" applyAlignment="1">
      <alignment vertical="center" wrapText="1"/>
    </xf>
    <xf numFmtId="0" fontId="99" fillId="3" borderId="21" xfId="0" applyFont="1" applyFill="1" applyBorder="1" applyAlignment="1" applyProtection="1">
      <alignment horizontal="left" vertical="center" wrapText="1"/>
      <protection locked="0"/>
    </xf>
    <xf numFmtId="0" fontId="99" fillId="0" borderId="21" xfId="0" applyFont="1" applyBorder="1" applyAlignment="1" applyProtection="1">
      <alignment horizontal="left" vertical="center" wrapText="1"/>
      <protection locked="0"/>
    </xf>
    <xf numFmtId="0" fontId="95" fillId="5" borderId="7" xfId="0" applyFont="1" applyFill="1" applyBorder="1" applyAlignment="1" applyProtection="1">
      <alignment horizontal="center" wrapText="1" readingOrder="1"/>
      <protection hidden="1"/>
    </xf>
    <xf numFmtId="0" fontId="1" fillId="0" borderId="21" xfId="0" applyFont="1" applyBorder="1" applyAlignment="1" applyProtection="1">
      <alignment horizontal="center" vertical="center" wrapText="1"/>
      <protection locked="0"/>
    </xf>
    <xf numFmtId="0" fontId="99" fillId="0" borderId="21" xfId="0" applyFont="1" applyBorder="1" applyAlignment="1">
      <alignment horizontal="center" vertical="center" wrapText="1"/>
    </xf>
    <xf numFmtId="0" fontId="66" fillId="0" borderId="21" xfId="0" applyFont="1" applyBorder="1" applyAlignment="1" applyProtection="1">
      <alignment horizontal="center" vertical="center"/>
      <protection locked="0"/>
    </xf>
    <xf numFmtId="0" fontId="99" fillId="0" borderId="21" xfId="0" applyFont="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3">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5</xdr:col>
      <xdr:colOff>904874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8</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NTRATOS\ETITC\2025\Riesgos%202025\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ay/Downloads/GSI-CA-FO-0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refreshError="1"/>
      <sheetData sheetId="18" refreshError="1"/>
      <sheetData sheetId="1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2" dataDxfId="31">
  <autoFilter ref="B209:C219" xr:uid="{00000000-0009-0000-0100-000001000000}"/>
  <tableColumns count="2">
    <tableColumn id="1" xr3:uid="{00000000-0010-0000-0000-000001000000}" name="Criterios" dataDxfId="30"/>
    <tableColumn id="2" xr3:uid="{00000000-0010-0000-0000-000002000000}" name="Subcriterios" dataDxfId="2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58" t="s">
        <v>267</v>
      </c>
      <c r="C2" s="259"/>
      <c r="D2" s="249" t="s">
        <v>205</v>
      </c>
      <c r="E2" s="250"/>
      <c r="F2" s="250"/>
      <c r="G2" s="250"/>
      <c r="H2" s="250"/>
      <c r="I2" s="250"/>
      <c r="J2" s="250"/>
      <c r="K2" s="250"/>
      <c r="L2" s="251"/>
      <c r="M2" s="264" t="s">
        <v>388</v>
      </c>
      <c r="N2" s="265"/>
    </row>
    <row r="3" spans="2:14" ht="29.25" customHeight="1" x14ac:dyDescent="0.25">
      <c r="B3" s="260"/>
      <c r="C3" s="261"/>
      <c r="D3" s="252"/>
      <c r="E3" s="253"/>
      <c r="F3" s="253"/>
      <c r="G3" s="253"/>
      <c r="H3" s="253"/>
      <c r="I3" s="253"/>
      <c r="J3" s="253"/>
      <c r="K3" s="253"/>
      <c r="L3" s="254"/>
      <c r="M3" s="266" t="s">
        <v>264</v>
      </c>
      <c r="N3" s="267"/>
    </row>
    <row r="4" spans="2:14" ht="29.25" customHeight="1" x14ac:dyDescent="0.25">
      <c r="B4" s="260"/>
      <c r="C4" s="261"/>
      <c r="D4" s="252"/>
      <c r="E4" s="253"/>
      <c r="F4" s="253"/>
      <c r="G4" s="253"/>
      <c r="H4" s="253"/>
      <c r="I4" s="253"/>
      <c r="J4" s="253"/>
      <c r="K4" s="253"/>
      <c r="L4" s="254"/>
      <c r="M4" s="266" t="s">
        <v>387</v>
      </c>
      <c r="N4" s="267"/>
    </row>
    <row r="5" spans="2:14" ht="29.25" customHeight="1" thickBot="1" x14ac:dyDescent="0.3">
      <c r="B5" s="262"/>
      <c r="C5" s="263"/>
      <c r="D5" s="255"/>
      <c r="E5" s="256"/>
      <c r="F5" s="256"/>
      <c r="G5" s="256"/>
      <c r="H5" s="256"/>
      <c r="I5" s="256"/>
      <c r="J5" s="256"/>
      <c r="K5" s="256"/>
      <c r="L5" s="257"/>
      <c r="M5" s="268" t="s">
        <v>245</v>
      </c>
      <c r="N5" s="269"/>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48" t="s">
        <v>309</v>
      </c>
      <c r="E31" s="248"/>
      <c r="N31" s="138"/>
    </row>
    <row r="32" spans="2:14" x14ac:dyDescent="0.25">
      <c r="B32" s="137"/>
      <c r="D32" s="248"/>
      <c r="E32" s="248"/>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31" t="s">
        <v>162</v>
      </c>
      <c r="C2" s="532"/>
      <c r="D2" s="532"/>
      <c r="E2" s="532"/>
      <c r="F2" s="532"/>
      <c r="G2" s="532"/>
      <c r="H2" s="533"/>
      <c r="J2" s="151" t="s">
        <v>274</v>
      </c>
    </row>
    <row r="3" spans="2:10" ht="20.25" x14ac:dyDescent="0.25">
      <c r="B3" s="70"/>
      <c r="C3" s="71"/>
      <c r="D3" s="71"/>
      <c r="E3" s="71"/>
      <c r="F3" s="71"/>
      <c r="G3" s="71"/>
      <c r="H3" s="72"/>
      <c r="J3" s="151"/>
    </row>
    <row r="4" spans="2:10" ht="63" customHeight="1" x14ac:dyDescent="0.25">
      <c r="B4" s="534" t="s">
        <v>305</v>
      </c>
      <c r="C4" s="535"/>
      <c r="D4" s="535"/>
      <c r="E4" s="535"/>
      <c r="F4" s="535"/>
      <c r="G4" s="535"/>
      <c r="H4" s="536"/>
    </row>
    <row r="5" spans="2:10" ht="63" customHeight="1" x14ac:dyDescent="0.25">
      <c r="B5" s="537"/>
      <c r="C5" s="538"/>
      <c r="D5" s="538"/>
      <c r="E5" s="538"/>
      <c r="F5" s="538"/>
      <c r="G5" s="538"/>
      <c r="H5" s="539"/>
    </row>
    <row r="6" spans="2:10" ht="16.5" x14ac:dyDescent="0.25">
      <c r="B6" s="540" t="s">
        <v>160</v>
      </c>
      <c r="C6" s="541"/>
      <c r="D6" s="541"/>
      <c r="E6" s="541"/>
      <c r="F6" s="541"/>
      <c r="G6" s="541"/>
      <c r="H6" s="542"/>
    </row>
    <row r="7" spans="2:10" ht="95.25" customHeight="1" x14ac:dyDescent="0.25">
      <c r="B7" s="550" t="s">
        <v>165</v>
      </c>
      <c r="C7" s="551"/>
      <c r="D7" s="551"/>
      <c r="E7" s="551"/>
      <c r="F7" s="551"/>
      <c r="G7" s="551"/>
      <c r="H7" s="552"/>
    </row>
    <row r="8" spans="2:10" ht="16.5" x14ac:dyDescent="0.25">
      <c r="B8" s="106"/>
      <c r="C8" s="107"/>
      <c r="D8" s="107"/>
      <c r="E8" s="107"/>
      <c r="F8" s="107"/>
      <c r="G8" s="107"/>
      <c r="H8" s="108"/>
    </row>
    <row r="9" spans="2:10" ht="16.5" customHeight="1" x14ac:dyDescent="0.25">
      <c r="B9" s="543" t="s">
        <v>293</v>
      </c>
      <c r="C9" s="544"/>
      <c r="D9" s="544"/>
      <c r="E9" s="544"/>
      <c r="F9" s="544"/>
      <c r="G9" s="544"/>
      <c r="H9" s="545"/>
    </row>
    <row r="10" spans="2:10" ht="44.25" customHeight="1" x14ac:dyDescent="0.25">
      <c r="B10" s="543"/>
      <c r="C10" s="544"/>
      <c r="D10" s="544"/>
      <c r="E10" s="544"/>
      <c r="F10" s="544"/>
      <c r="G10" s="544"/>
      <c r="H10" s="545"/>
    </row>
    <row r="11" spans="2:10" ht="15.75" thickBot="1" x14ac:dyDescent="0.3">
      <c r="B11" s="95"/>
      <c r="C11" s="98"/>
      <c r="D11" s="103"/>
      <c r="E11" s="104"/>
      <c r="F11" s="104"/>
      <c r="G11" s="105"/>
      <c r="H11" s="99"/>
    </row>
    <row r="12" spans="2:10" ht="15.75" thickTop="1" x14ac:dyDescent="0.25">
      <c r="B12" s="95"/>
      <c r="C12" s="546" t="s">
        <v>161</v>
      </c>
      <c r="D12" s="547"/>
      <c r="E12" s="548" t="s">
        <v>198</v>
      </c>
      <c r="F12" s="549"/>
      <c r="G12" s="98"/>
      <c r="H12" s="99"/>
    </row>
    <row r="13" spans="2:10" ht="35.25" customHeight="1" x14ac:dyDescent="0.25">
      <c r="B13" s="95"/>
      <c r="C13" s="553" t="s">
        <v>192</v>
      </c>
      <c r="D13" s="554"/>
      <c r="E13" s="555" t="s">
        <v>197</v>
      </c>
      <c r="F13" s="556"/>
      <c r="G13" s="98"/>
      <c r="H13" s="99"/>
    </row>
    <row r="14" spans="2:10" ht="17.25" customHeight="1" x14ac:dyDescent="0.25">
      <c r="B14" s="95"/>
      <c r="C14" s="553" t="s">
        <v>193</v>
      </c>
      <c r="D14" s="554"/>
      <c r="E14" s="555" t="s">
        <v>195</v>
      </c>
      <c r="F14" s="556"/>
      <c r="G14" s="98"/>
      <c r="H14" s="99"/>
    </row>
    <row r="15" spans="2:10" ht="19.5" customHeight="1" x14ac:dyDescent="0.25">
      <c r="B15" s="95"/>
      <c r="C15" s="553" t="s">
        <v>194</v>
      </c>
      <c r="D15" s="554"/>
      <c r="E15" s="555" t="s">
        <v>196</v>
      </c>
      <c r="F15" s="556"/>
      <c r="G15" s="98"/>
      <c r="H15" s="99"/>
    </row>
    <row r="16" spans="2:10" ht="69.75" customHeight="1" x14ac:dyDescent="0.25">
      <c r="B16" s="95"/>
      <c r="C16" s="553" t="s">
        <v>163</v>
      </c>
      <c r="D16" s="554"/>
      <c r="E16" s="555" t="s">
        <v>164</v>
      </c>
      <c r="F16" s="556"/>
      <c r="G16" s="98"/>
      <c r="H16" s="99"/>
    </row>
    <row r="17" spans="2:8" ht="34.5" customHeight="1" x14ac:dyDescent="0.25">
      <c r="B17" s="95"/>
      <c r="C17" s="557" t="s">
        <v>2</v>
      </c>
      <c r="D17" s="558"/>
      <c r="E17" s="559" t="s">
        <v>199</v>
      </c>
      <c r="F17" s="560"/>
      <c r="G17" s="98"/>
      <c r="H17" s="99"/>
    </row>
    <row r="18" spans="2:8" ht="27.75" customHeight="1" x14ac:dyDescent="0.25">
      <c r="B18" s="95"/>
      <c r="C18" s="557" t="s">
        <v>3</v>
      </c>
      <c r="D18" s="558"/>
      <c r="E18" s="559" t="s">
        <v>200</v>
      </c>
      <c r="F18" s="560"/>
      <c r="G18" s="98"/>
      <c r="H18" s="99"/>
    </row>
    <row r="19" spans="2:8" ht="28.5" customHeight="1" x14ac:dyDescent="0.25">
      <c r="B19" s="95"/>
      <c r="C19" s="557" t="s">
        <v>41</v>
      </c>
      <c r="D19" s="558"/>
      <c r="E19" s="559" t="s">
        <v>201</v>
      </c>
      <c r="F19" s="560"/>
      <c r="G19" s="98"/>
      <c r="H19" s="99"/>
    </row>
    <row r="20" spans="2:8" ht="72.75" customHeight="1" x14ac:dyDescent="0.25">
      <c r="B20" s="95"/>
      <c r="C20" s="557" t="s">
        <v>1</v>
      </c>
      <c r="D20" s="558"/>
      <c r="E20" s="559" t="s">
        <v>202</v>
      </c>
      <c r="F20" s="560"/>
      <c r="G20" s="98"/>
      <c r="H20" s="99"/>
    </row>
    <row r="21" spans="2:8" ht="64.5" customHeight="1" x14ac:dyDescent="0.25">
      <c r="B21" s="95"/>
      <c r="C21" s="557" t="s">
        <v>49</v>
      </c>
      <c r="D21" s="558"/>
      <c r="E21" s="559" t="s">
        <v>167</v>
      </c>
      <c r="F21" s="560"/>
      <c r="G21" s="98"/>
      <c r="H21" s="99"/>
    </row>
    <row r="22" spans="2:8" ht="71.25" customHeight="1" x14ac:dyDescent="0.25">
      <c r="B22" s="95"/>
      <c r="C22" s="557" t="s">
        <v>166</v>
      </c>
      <c r="D22" s="558"/>
      <c r="E22" s="559" t="s">
        <v>168</v>
      </c>
      <c r="F22" s="560"/>
      <c r="G22" s="98"/>
      <c r="H22" s="99"/>
    </row>
    <row r="23" spans="2:8" ht="55.5" customHeight="1" x14ac:dyDescent="0.25">
      <c r="B23" s="95"/>
      <c r="C23" s="564" t="s">
        <v>169</v>
      </c>
      <c r="D23" s="565"/>
      <c r="E23" s="559" t="s">
        <v>170</v>
      </c>
      <c r="F23" s="560"/>
      <c r="G23" s="98"/>
      <c r="H23" s="99"/>
    </row>
    <row r="24" spans="2:8" ht="42" customHeight="1" x14ac:dyDescent="0.25">
      <c r="B24" s="95"/>
      <c r="C24" s="564" t="s">
        <v>47</v>
      </c>
      <c r="D24" s="565"/>
      <c r="E24" s="559" t="s">
        <v>171</v>
      </c>
      <c r="F24" s="560"/>
      <c r="G24" s="98"/>
      <c r="H24" s="99"/>
    </row>
    <row r="25" spans="2:8" ht="59.25" customHeight="1" x14ac:dyDescent="0.25">
      <c r="B25" s="95"/>
      <c r="C25" s="564" t="s">
        <v>159</v>
      </c>
      <c r="D25" s="565"/>
      <c r="E25" s="559" t="s">
        <v>172</v>
      </c>
      <c r="F25" s="560"/>
      <c r="G25" s="98"/>
      <c r="H25" s="99"/>
    </row>
    <row r="26" spans="2:8" ht="23.25" customHeight="1" x14ac:dyDescent="0.25">
      <c r="B26" s="95"/>
      <c r="C26" s="564" t="s">
        <v>12</v>
      </c>
      <c r="D26" s="565"/>
      <c r="E26" s="559" t="s">
        <v>173</v>
      </c>
      <c r="F26" s="560"/>
      <c r="G26" s="98"/>
      <c r="H26" s="99"/>
    </row>
    <row r="27" spans="2:8" ht="30.75" customHeight="1" x14ac:dyDescent="0.25">
      <c r="B27" s="95"/>
      <c r="C27" s="564" t="s">
        <v>177</v>
      </c>
      <c r="D27" s="565"/>
      <c r="E27" s="559" t="s">
        <v>174</v>
      </c>
      <c r="F27" s="560"/>
      <c r="G27" s="98"/>
      <c r="H27" s="99"/>
    </row>
    <row r="28" spans="2:8" ht="35.25" customHeight="1" x14ac:dyDescent="0.25">
      <c r="B28" s="95"/>
      <c r="C28" s="564" t="s">
        <v>178</v>
      </c>
      <c r="D28" s="565"/>
      <c r="E28" s="559" t="s">
        <v>175</v>
      </c>
      <c r="F28" s="560"/>
      <c r="G28" s="98"/>
      <c r="H28" s="99"/>
    </row>
    <row r="29" spans="2:8" ht="33" customHeight="1" x14ac:dyDescent="0.25">
      <c r="B29" s="95"/>
      <c r="C29" s="564" t="s">
        <v>178</v>
      </c>
      <c r="D29" s="565"/>
      <c r="E29" s="559" t="s">
        <v>175</v>
      </c>
      <c r="F29" s="560"/>
      <c r="G29" s="98"/>
      <c r="H29" s="99"/>
    </row>
    <row r="30" spans="2:8" ht="30" customHeight="1" x14ac:dyDescent="0.25">
      <c r="B30" s="95"/>
      <c r="C30" s="564" t="s">
        <v>179</v>
      </c>
      <c r="D30" s="565"/>
      <c r="E30" s="559" t="s">
        <v>176</v>
      </c>
      <c r="F30" s="560"/>
      <c r="G30" s="98"/>
      <c r="H30" s="99"/>
    </row>
    <row r="31" spans="2:8" ht="35.25" customHeight="1" x14ac:dyDescent="0.25">
      <c r="B31" s="95"/>
      <c r="C31" s="564" t="s">
        <v>180</v>
      </c>
      <c r="D31" s="565"/>
      <c r="E31" s="559" t="s">
        <v>181</v>
      </c>
      <c r="F31" s="560"/>
      <c r="G31" s="98"/>
      <c r="H31" s="99"/>
    </row>
    <row r="32" spans="2:8" ht="31.5" customHeight="1" x14ac:dyDescent="0.25">
      <c r="B32" s="95"/>
      <c r="C32" s="564" t="s">
        <v>182</v>
      </c>
      <c r="D32" s="565"/>
      <c r="E32" s="559" t="s">
        <v>183</v>
      </c>
      <c r="F32" s="560"/>
      <c r="G32" s="98"/>
      <c r="H32" s="99"/>
    </row>
    <row r="33" spans="2:8" ht="35.25" customHeight="1" x14ac:dyDescent="0.25">
      <c r="B33" s="95"/>
      <c r="C33" s="564" t="s">
        <v>184</v>
      </c>
      <c r="D33" s="565"/>
      <c r="E33" s="559" t="s">
        <v>185</v>
      </c>
      <c r="F33" s="560"/>
      <c r="G33" s="98"/>
      <c r="H33" s="99"/>
    </row>
    <row r="34" spans="2:8" ht="59.25" customHeight="1" x14ac:dyDescent="0.25">
      <c r="B34" s="95"/>
      <c r="C34" s="564" t="s">
        <v>186</v>
      </c>
      <c r="D34" s="565"/>
      <c r="E34" s="559" t="s">
        <v>187</v>
      </c>
      <c r="F34" s="560"/>
      <c r="G34" s="98"/>
      <c r="H34" s="99"/>
    </row>
    <row r="35" spans="2:8" ht="29.25" customHeight="1" x14ac:dyDescent="0.25">
      <c r="B35" s="95"/>
      <c r="C35" s="564" t="s">
        <v>29</v>
      </c>
      <c r="D35" s="565"/>
      <c r="E35" s="559" t="s">
        <v>188</v>
      </c>
      <c r="F35" s="560"/>
      <c r="G35" s="98"/>
      <c r="H35" s="99"/>
    </row>
    <row r="36" spans="2:8" ht="82.5" customHeight="1" x14ac:dyDescent="0.25">
      <c r="B36" s="95"/>
      <c r="C36" s="564" t="s">
        <v>190</v>
      </c>
      <c r="D36" s="565"/>
      <c r="E36" s="559" t="s">
        <v>189</v>
      </c>
      <c r="F36" s="560"/>
      <c r="G36" s="98"/>
      <c r="H36" s="99"/>
    </row>
    <row r="37" spans="2:8" ht="46.5" customHeight="1" x14ac:dyDescent="0.25">
      <c r="B37" s="95"/>
      <c r="C37" s="564" t="s">
        <v>38</v>
      </c>
      <c r="D37" s="565"/>
      <c r="E37" s="559" t="s">
        <v>191</v>
      </c>
      <c r="F37" s="560"/>
      <c r="G37" s="98"/>
      <c r="H37" s="99"/>
    </row>
    <row r="38" spans="2:8" ht="6.75" customHeight="1" thickBot="1" x14ac:dyDescent="0.3">
      <c r="B38" s="95"/>
      <c r="C38" s="566"/>
      <c r="D38" s="567"/>
      <c r="E38" s="568"/>
      <c r="F38" s="569"/>
      <c r="G38" s="98"/>
      <c r="H38" s="99"/>
    </row>
    <row r="39" spans="2:8" ht="15.75" thickTop="1" x14ac:dyDescent="0.25">
      <c r="B39" s="95"/>
      <c r="C39" s="96"/>
      <c r="D39" s="96"/>
      <c r="E39" s="97"/>
      <c r="F39" s="97"/>
      <c r="G39" s="98"/>
      <c r="H39" s="99"/>
    </row>
    <row r="40" spans="2:8" ht="21" customHeight="1" x14ac:dyDescent="0.25">
      <c r="B40" s="561" t="s">
        <v>294</v>
      </c>
      <c r="C40" s="562"/>
      <c r="D40" s="562"/>
      <c r="E40" s="562"/>
      <c r="F40" s="562"/>
      <c r="G40" s="562"/>
      <c r="H40" s="563"/>
    </row>
    <row r="41" spans="2:8" ht="20.25" customHeight="1" x14ac:dyDescent="0.25">
      <c r="B41" s="561" t="s">
        <v>295</v>
      </c>
      <c r="C41" s="562"/>
      <c r="D41" s="562"/>
      <c r="E41" s="562"/>
      <c r="F41" s="562"/>
      <c r="G41" s="562"/>
      <c r="H41" s="563"/>
    </row>
    <row r="42" spans="2:8" ht="20.25" customHeight="1" x14ac:dyDescent="0.25">
      <c r="B42" s="561" t="s">
        <v>296</v>
      </c>
      <c r="C42" s="562"/>
      <c r="D42" s="562"/>
      <c r="E42" s="562"/>
      <c r="F42" s="562"/>
      <c r="G42" s="562"/>
      <c r="H42" s="563"/>
    </row>
    <row r="43" spans="2:8" ht="20.25" customHeight="1" x14ac:dyDescent="0.25">
      <c r="B43" s="561" t="s">
        <v>297</v>
      </c>
      <c r="C43" s="562"/>
      <c r="D43" s="562"/>
      <c r="E43" s="562"/>
      <c r="F43" s="562"/>
      <c r="G43" s="562"/>
      <c r="H43" s="563"/>
    </row>
    <row r="44" spans="2:8" ht="15" customHeight="1" x14ac:dyDescent="0.25">
      <c r="B44" s="561" t="s">
        <v>298</v>
      </c>
      <c r="C44" s="562"/>
      <c r="D44" s="562"/>
      <c r="E44" s="562"/>
      <c r="F44" s="562"/>
      <c r="G44" s="562"/>
      <c r="H44" s="563"/>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70" t="s">
        <v>251</v>
      </c>
      <c r="C2" s="571" t="s">
        <v>205</v>
      </c>
      <c r="D2" s="572"/>
      <c r="E2" s="572"/>
      <c r="F2" s="572"/>
      <c r="G2" s="572"/>
      <c r="H2" s="572"/>
      <c r="I2" s="572"/>
      <c r="J2" s="276" t="s">
        <v>250</v>
      </c>
      <c r="K2" s="265"/>
    </row>
    <row r="3" spans="2:11" ht="15" customHeight="1" x14ac:dyDescent="0.25">
      <c r="B3" s="524"/>
      <c r="C3" s="573"/>
      <c r="D3" s="574"/>
      <c r="E3" s="574"/>
      <c r="F3" s="574"/>
      <c r="G3" s="574"/>
      <c r="H3" s="574"/>
      <c r="I3" s="574"/>
      <c r="J3" s="277" t="s">
        <v>264</v>
      </c>
      <c r="K3" s="267"/>
    </row>
    <row r="4" spans="2:11" ht="15" customHeight="1" x14ac:dyDescent="0.25">
      <c r="B4" s="524"/>
      <c r="C4" s="573"/>
      <c r="D4" s="574"/>
      <c r="E4" s="574"/>
      <c r="F4" s="574"/>
      <c r="G4" s="574"/>
      <c r="H4" s="574"/>
      <c r="I4" s="574"/>
      <c r="J4" s="277" t="s">
        <v>263</v>
      </c>
      <c r="K4" s="267" t="s">
        <v>263</v>
      </c>
    </row>
    <row r="5" spans="2:11" ht="15" customHeight="1" thickBot="1" x14ac:dyDescent="0.3">
      <c r="B5" s="525"/>
      <c r="C5" s="575"/>
      <c r="D5" s="576"/>
      <c r="E5" s="576"/>
      <c r="F5" s="576"/>
      <c r="G5" s="576"/>
      <c r="H5" s="576"/>
      <c r="I5" s="576"/>
      <c r="J5" s="278" t="s">
        <v>245</v>
      </c>
      <c r="K5" s="269" t="s">
        <v>245</v>
      </c>
    </row>
    <row r="6" spans="2:11" ht="15.75" thickBot="1" x14ac:dyDescent="0.3"/>
    <row r="7" spans="2:11" customFormat="1" ht="15.75" thickBot="1" x14ac:dyDescent="0.3">
      <c r="B7" s="577" t="s">
        <v>246</v>
      </c>
      <c r="C7" s="578"/>
      <c r="D7" s="579" t="s">
        <v>252</v>
      </c>
      <c r="E7" s="580"/>
      <c r="F7" s="579" t="s">
        <v>253</v>
      </c>
      <c r="G7" s="581"/>
      <c r="H7" s="581"/>
      <c r="I7" s="581"/>
      <c r="J7" s="581"/>
      <c r="K7" s="582"/>
    </row>
    <row r="8" spans="2:11" customFormat="1" ht="18" customHeight="1" thickBot="1" x14ac:dyDescent="0.3">
      <c r="B8" s="583"/>
      <c r="C8" s="584"/>
      <c r="D8" s="585">
        <v>1</v>
      </c>
      <c r="E8" s="586"/>
      <c r="F8" s="587"/>
      <c r="G8" s="587"/>
      <c r="H8" s="587"/>
      <c r="I8" s="587"/>
      <c r="J8" s="587"/>
      <c r="K8" s="588"/>
    </row>
    <row r="9" spans="2:11" customFormat="1" ht="18" customHeight="1" thickBot="1" x14ac:dyDescent="0.3">
      <c r="B9" s="583"/>
      <c r="C9" s="584"/>
      <c r="D9" s="585">
        <v>2</v>
      </c>
      <c r="E9" s="586"/>
      <c r="F9" s="587"/>
      <c r="G9" s="587"/>
      <c r="H9" s="587"/>
      <c r="I9" s="587"/>
      <c r="J9" s="587"/>
      <c r="K9" s="588"/>
    </row>
    <row r="10" spans="2:11" customFormat="1" ht="18" customHeight="1" thickBot="1" x14ac:dyDescent="0.3">
      <c r="B10" s="583"/>
      <c r="C10" s="584"/>
      <c r="D10" s="585">
        <v>3</v>
      </c>
      <c r="E10" s="586"/>
      <c r="F10" s="587"/>
      <c r="G10" s="587"/>
      <c r="H10" s="587"/>
      <c r="I10" s="587"/>
      <c r="J10" s="587"/>
      <c r="K10" s="588"/>
    </row>
    <row r="11" spans="2:11" customFormat="1" ht="18" customHeight="1" thickBot="1" x14ac:dyDescent="0.3">
      <c r="B11" s="583"/>
      <c r="C11" s="584"/>
      <c r="D11" s="585">
        <v>4</v>
      </c>
      <c r="E11" s="586"/>
      <c r="F11" s="587"/>
      <c r="G11" s="587"/>
      <c r="H11" s="587"/>
      <c r="I11" s="587"/>
      <c r="J11" s="587"/>
      <c r="K11" s="588"/>
    </row>
    <row r="12" spans="2:11" customFormat="1" ht="18" customHeight="1" thickBot="1" x14ac:dyDescent="0.3">
      <c r="B12" s="583"/>
      <c r="C12" s="584"/>
      <c r="D12" s="585">
        <v>5</v>
      </c>
      <c r="E12" s="586"/>
      <c r="F12" s="587"/>
      <c r="G12" s="587"/>
      <c r="H12" s="587"/>
      <c r="I12" s="587"/>
      <c r="J12" s="587"/>
      <c r="K12" s="588"/>
    </row>
    <row r="13" spans="2:11" customFormat="1" ht="18" customHeight="1" thickBot="1" x14ac:dyDescent="0.3">
      <c r="B13" s="583"/>
      <c r="C13" s="584"/>
      <c r="D13" s="585">
        <v>6</v>
      </c>
      <c r="E13" s="586"/>
      <c r="F13" s="587"/>
      <c r="G13" s="587"/>
      <c r="H13" s="587"/>
      <c r="I13" s="587"/>
      <c r="J13" s="587"/>
      <c r="K13" s="588"/>
    </row>
    <row r="14" spans="2:11" customFormat="1" ht="18" customHeight="1" thickBot="1" x14ac:dyDescent="0.3">
      <c r="B14" s="583"/>
      <c r="C14" s="584"/>
      <c r="D14" s="585">
        <v>7</v>
      </c>
      <c r="E14" s="586"/>
      <c r="F14" s="587"/>
      <c r="G14" s="587"/>
      <c r="H14" s="587"/>
      <c r="I14" s="587"/>
      <c r="J14" s="587"/>
      <c r="K14" s="588"/>
    </row>
    <row r="15" spans="2:11" customFormat="1" ht="18" customHeight="1" thickBot="1" x14ac:dyDescent="0.3">
      <c r="B15" s="583">
        <v>45352</v>
      </c>
      <c r="C15" s="584"/>
      <c r="D15" s="585">
        <v>8</v>
      </c>
      <c r="E15" s="586"/>
      <c r="F15" s="587" t="s">
        <v>265</v>
      </c>
      <c r="G15" s="587"/>
      <c r="H15" s="587"/>
      <c r="I15" s="587"/>
      <c r="J15" s="587"/>
      <c r="K15" s="588"/>
    </row>
    <row r="16" spans="2:11" customFormat="1" ht="15.75" customHeight="1" thickBot="1" x14ac:dyDescent="0.3">
      <c r="B16" s="589"/>
      <c r="C16" s="589"/>
      <c r="D16" s="589"/>
      <c r="E16" s="589"/>
      <c r="F16" s="589"/>
      <c r="G16" s="589"/>
      <c r="H16" s="589"/>
      <c r="I16" s="589"/>
      <c r="J16" s="589"/>
      <c r="K16" s="589"/>
    </row>
    <row r="17" spans="2:12" customFormat="1" ht="15.75" customHeight="1" thickBot="1" x14ac:dyDescent="0.3">
      <c r="B17" s="590" t="s">
        <v>254</v>
      </c>
      <c r="C17" s="591"/>
      <c r="D17" s="591"/>
      <c r="E17" s="592"/>
      <c r="F17" s="593" t="s">
        <v>255</v>
      </c>
      <c r="G17" s="594"/>
      <c r="H17" s="595"/>
      <c r="I17" s="596" t="s">
        <v>256</v>
      </c>
      <c r="J17" s="597"/>
      <c r="K17" s="592"/>
    </row>
    <row r="18" spans="2:12" customFormat="1" ht="27" customHeight="1" x14ac:dyDescent="0.25">
      <c r="B18" s="598"/>
      <c r="C18" s="599"/>
      <c r="D18" s="599"/>
      <c r="E18" s="599"/>
      <c r="F18" s="599"/>
      <c r="G18" s="599"/>
      <c r="H18" s="599"/>
      <c r="I18" s="600"/>
      <c r="J18" s="600"/>
      <c r="K18" s="601"/>
    </row>
    <row r="19" spans="2:12" customFormat="1" ht="15" customHeight="1" x14ac:dyDescent="0.25">
      <c r="B19" s="603" t="s">
        <v>257</v>
      </c>
      <c r="C19" s="604"/>
      <c r="D19" s="604"/>
      <c r="E19" s="604"/>
      <c r="F19" s="605" t="s">
        <v>258</v>
      </c>
      <c r="G19" s="605"/>
      <c r="H19" s="606"/>
      <c r="I19" s="605" t="s">
        <v>258</v>
      </c>
      <c r="J19" s="605"/>
      <c r="K19" s="606"/>
    </row>
    <row r="20" spans="2:12" customFormat="1" ht="22.5" customHeight="1" thickBot="1" x14ac:dyDescent="0.3">
      <c r="B20" s="607" t="s">
        <v>259</v>
      </c>
      <c r="C20" s="608"/>
      <c r="D20" s="608"/>
      <c r="E20" s="608"/>
      <c r="F20" s="608" t="s">
        <v>260</v>
      </c>
      <c r="G20" s="608"/>
      <c r="H20" s="609"/>
      <c r="I20" s="608" t="s">
        <v>260</v>
      </c>
      <c r="J20" s="608"/>
      <c r="K20" s="609"/>
    </row>
    <row r="21" spans="2:12" customFormat="1" ht="9" customHeight="1" thickBot="1" x14ac:dyDescent="0.3">
      <c r="B21" s="610"/>
      <c r="C21" s="610"/>
      <c r="D21" s="610"/>
      <c r="E21" s="610"/>
      <c r="F21" s="610"/>
      <c r="G21" s="610"/>
      <c r="H21" s="610"/>
      <c r="I21" s="610"/>
      <c r="J21" s="610"/>
      <c r="K21" s="610"/>
    </row>
    <row r="22" spans="2:12" customFormat="1" ht="15.75" thickBot="1" x14ac:dyDescent="0.3">
      <c r="B22" s="611" t="s">
        <v>207</v>
      </c>
      <c r="C22" s="612"/>
      <c r="D22" s="613"/>
      <c r="E22" s="131" t="s">
        <v>208</v>
      </c>
      <c r="F22" s="611" t="s">
        <v>209</v>
      </c>
      <c r="G22" s="613"/>
      <c r="H22" s="132" t="s">
        <v>210</v>
      </c>
      <c r="I22" s="611" t="s">
        <v>211</v>
      </c>
      <c r="J22" s="613"/>
      <c r="K22" s="133">
        <v>1</v>
      </c>
    </row>
    <row r="23" spans="2:12" ht="8.25" customHeight="1" x14ac:dyDescent="0.25"/>
    <row r="24" spans="2:12" x14ac:dyDescent="0.25">
      <c r="B24" s="602" t="s">
        <v>261</v>
      </c>
      <c r="C24" s="602"/>
      <c r="D24" s="602"/>
      <c r="E24" s="602"/>
      <c r="F24" s="602"/>
      <c r="G24" s="602"/>
      <c r="H24" s="602"/>
      <c r="I24" s="602"/>
      <c r="J24" s="602"/>
      <c r="K24" s="602"/>
      <c r="L24" s="602"/>
    </row>
    <row r="25" spans="2:12" x14ac:dyDescent="0.25">
      <c r="B25" s="602" t="s">
        <v>262</v>
      </c>
      <c r="C25" s="602"/>
      <c r="D25" s="602"/>
      <c r="E25" s="602"/>
      <c r="F25" s="602"/>
      <c r="G25" s="602"/>
      <c r="H25" s="602"/>
      <c r="I25" s="602"/>
      <c r="J25" s="602"/>
      <c r="K25" s="602"/>
      <c r="L25" s="602"/>
    </row>
    <row r="26" spans="2:12" ht="9" customHeight="1" x14ac:dyDescent="0.25"/>
  </sheetData>
  <mergeCells count="52">
    <mergeCell ref="F11:K11"/>
    <mergeCell ref="B12:C12"/>
    <mergeCell ref="D12:E12"/>
    <mergeCell ref="F12:K12"/>
    <mergeCell ref="B14:C14"/>
    <mergeCell ref="D14:E14"/>
    <mergeCell ref="F14:K14"/>
    <mergeCell ref="D13:E13"/>
    <mergeCell ref="F13:K13"/>
    <mergeCell ref="B11:C11"/>
    <mergeCell ref="D11:E11"/>
    <mergeCell ref="B25:L25"/>
    <mergeCell ref="B19:E19"/>
    <mergeCell ref="F19:H19"/>
    <mergeCell ref="I19:K19"/>
    <mergeCell ref="B20:E20"/>
    <mergeCell ref="F20:H20"/>
    <mergeCell ref="I20:K20"/>
    <mergeCell ref="B21:K21"/>
    <mergeCell ref="B22:D22"/>
    <mergeCell ref="F22:G22"/>
    <mergeCell ref="I22:J22"/>
    <mergeCell ref="B24:L24"/>
    <mergeCell ref="B16:K16"/>
    <mergeCell ref="B17:E17"/>
    <mergeCell ref="F17:H17"/>
    <mergeCell ref="I17:K17"/>
    <mergeCell ref="B18:E18"/>
    <mergeCell ref="F18:H18"/>
    <mergeCell ref="I18:K18"/>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2:B5"/>
    <mergeCell ref="C2:I5"/>
    <mergeCell ref="J2:K2"/>
    <mergeCell ref="J3:K3"/>
    <mergeCell ref="J4:K4"/>
    <mergeCell ref="J5:K5"/>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14" t="s">
        <v>54</v>
      </c>
      <c r="C1" s="614"/>
      <c r="D1" s="614"/>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15" t="s">
        <v>62</v>
      </c>
      <c r="C1" s="615"/>
      <c r="D1" s="615"/>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6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101.2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117</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16" t="s">
        <v>77</v>
      </c>
      <c r="C1" s="617"/>
      <c r="D1" s="617"/>
      <c r="E1" s="617"/>
      <c r="F1" s="618"/>
    </row>
    <row r="2" spans="2:6" ht="16.5" thickBot="1" x14ac:dyDescent="0.3">
      <c r="B2" s="75"/>
      <c r="C2" s="75"/>
      <c r="D2" s="75"/>
      <c r="E2" s="75"/>
      <c r="F2" s="75"/>
    </row>
    <row r="3" spans="2:6" ht="16.5" thickBot="1" x14ac:dyDescent="0.25">
      <c r="B3" s="620" t="s">
        <v>63</v>
      </c>
      <c r="C3" s="621"/>
      <c r="D3" s="621"/>
      <c r="E3" s="87" t="s">
        <v>64</v>
      </c>
      <c r="F3" s="88" t="s">
        <v>65</v>
      </c>
    </row>
    <row r="4" spans="2:6" ht="31.5" x14ac:dyDescent="0.2">
      <c r="B4" s="622" t="s">
        <v>66</v>
      </c>
      <c r="C4" s="624" t="s">
        <v>13</v>
      </c>
      <c r="D4" s="76" t="s">
        <v>14</v>
      </c>
      <c r="E4" s="77" t="s">
        <v>67</v>
      </c>
      <c r="F4" s="78">
        <v>0.25</v>
      </c>
    </row>
    <row r="5" spans="2:6" ht="47.25" x14ac:dyDescent="0.2">
      <c r="B5" s="623"/>
      <c r="C5" s="625"/>
      <c r="D5" s="79" t="s">
        <v>15</v>
      </c>
      <c r="E5" s="80" t="s">
        <v>68</v>
      </c>
      <c r="F5" s="81">
        <v>0.15</v>
      </c>
    </row>
    <row r="6" spans="2:6" ht="47.25" x14ac:dyDescent="0.2">
      <c r="B6" s="623"/>
      <c r="C6" s="625"/>
      <c r="D6" s="79" t="s">
        <v>16</v>
      </c>
      <c r="E6" s="80" t="s">
        <v>69</v>
      </c>
      <c r="F6" s="81">
        <v>0.1</v>
      </c>
    </row>
    <row r="7" spans="2:6" ht="63" x14ac:dyDescent="0.2">
      <c r="B7" s="623"/>
      <c r="C7" s="625" t="s">
        <v>17</v>
      </c>
      <c r="D7" s="79" t="s">
        <v>10</v>
      </c>
      <c r="E7" s="80" t="s">
        <v>70</v>
      </c>
      <c r="F7" s="81">
        <v>0.25</v>
      </c>
    </row>
    <row r="8" spans="2:6" ht="31.5" x14ac:dyDescent="0.2">
      <c r="B8" s="623"/>
      <c r="C8" s="625"/>
      <c r="D8" s="79" t="s">
        <v>9</v>
      </c>
      <c r="E8" s="80" t="s">
        <v>71</v>
      </c>
      <c r="F8" s="81">
        <v>0.15</v>
      </c>
    </row>
    <row r="9" spans="2:6" ht="47.25" x14ac:dyDescent="0.2">
      <c r="B9" s="623" t="s">
        <v>158</v>
      </c>
      <c r="C9" s="625" t="s">
        <v>18</v>
      </c>
      <c r="D9" s="79" t="s">
        <v>19</v>
      </c>
      <c r="E9" s="80" t="s">
        <v>72</v>
      </c>
      <c r="F9" s="82" t="s">
        <v>73</v>
      </c>
    </row>
    <row r="10" spans="2:6" ht="63" x14ac:dyDescent="0.2">
      <c r="B10" s="623"/>
      <c r="C10" s="625"/>
      <c r="D10" s="79" t="s">
        <v>20</v>
      </c>
      <c r="E10" s="80" t="s">
        <v>74</v>
      </c>
      <c r="F10" s="82" t="s">
        <v>73</v>
      </c>
    </row>
    <row r="11" spans="2:6" ht="47.25" x14ac:dyDescent="0.2">
      <c r="B11" s="623"/>
      <c r="C11" s="625" t="s">
        <v>21</v>
      </c>
      <c r="D11" s="79" t="s">
        <v>22</v>
      </c>
      <c r="E11" s="80" t="s">
        <v>75</v>
      </c>
      <c r="F11" s="82" t="s">
        <v>73</v>
      </c>
    </row>
    <row r="12" spans="2:6" ht="47.25" x14ac:dyDescent="0.2">
      <c r="B12" s="623"/>
      <c r="C12" s="625"/>
      <c r="D12" s="79" t="s">
        <v>23</v>
      </c>
      <c r="E12" s="80" t="s">
        <v>76</v>
      </c>
      <c r="F12" s="82" t="s">
        <v>73</v>
      </c>
    </row>
    <row r="13" spans="2:6" ht="31.5" x14ac:dyDescent="0.2">
      <c r="B13" s="623"/>
      <c r="C13" s="625" t="s">
        <v>24</v>
      </c>
      <c r="D13" s="79" t="s">
        <v>118</v>
      </c>
      <c r="E13" s="80" t="s">
        <v>121</v>
      </c>
      <c r="F13" s="82" t="s">
        <v>73</v>
      </c>
    </row>
    <row r="14" spans="2:6" ht="32.25" thickBot="1" x14ac:dyDescent="0.25">
      <c r="B14" s="626"/>
      <c r="C14" s="627"/>
      <c r="D14" s="83" t="s">
        <v>119</v>
      </c>
      <c r="E14" s="84" t="s">
        <v>120</v>
      </c>
      <c r="F14" s="85" t="s">
        <v>73</v>
      </c>
    </row>
    <row r="15" spans="2:6" ht="49.5" customHeight="1" x14ac:dyDescent="0.2">
      <c r="B15" s="619" t="s">
        <v>155</v>
      </c>
      <c r="C15" s="619"/>
      <c r="D15" s="619"/>
      <c r="E15" s="619"/>
      <c r="F15" s="619"/>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91" t="s">
        <v>244</v>
      </c>
      <c r="C2" s="292"/>
      <c r="D2" s="279" t="s">
        <v>300</v>
      </c>
      <c r="E2" s="276" t="s">
        <v>375</v>
      </c>
      <c r="F2" s="265"/>
    </row>
    <row r="3" spans="1:8" ht="19.5" customHeight="1" x14ac:dyDescent="0.25">
      <c r="B3" s="260"/>
      <c r="C3" s="293"/>
      <c r="D3" s="280"/>
      <c r="E3" s="277" t="s">
        <v>264</v>
      </c>
      <c r="F3" s="267"/>
    </row>
    <row r="4" spans="1:8" ht="19.5" customHeight="1" x14ac:dyDescent="0.25">
      <c r="B4" s="260"/>
      <c r="C4" s="293"/>
      <c r="D4" s="280"/>
      <c r="E4" s="277" t="s">
        <v>387</v>
      </c>
      <c r="F4" s="267"/>
    </row>
    <row r="5" spans="1:8" ht="19.5" customHeight="1" thickBot="1" x14ac:dyDescent="0.3">
      <c r="A5" t="s">
        <v>266</v>
      </c>
      <c r="B5" s="262"/>
      <c r="C5" s="294"/>
      <c r="D5" s="281"/>
      <c r="E5" s="278" t="s">
        <v>245</v>
      </c>
      <c r="F5" s="269"/>
    </row>
    <row r="6" spans="1:8" ht="15.75" thickBot="1" x14ac:dyDescent="0.3"/>
    <row r="7" spans="1:8" x14ac:dyDescent="0.25">
      <c r="B7" s="282" t="s">
        <v>299</v>
      </c>
      <c r="C7" s="285" t="s">
        <v>268</v>
      </c>
      <c r="D7" s="286"/>
      <c r="E7" s="272" t="s">
        <v>270</v>
      </c>
      <c r="F7" s="273"/>
    </row>
    <row r="8" spans="1:8" ht="15.75" thickBot="1" x14ac:dyDescent="0.3">
      <c r="B8" s="283"/>
      <c r="C8" s="287"/>
      <c r="D8" s="288"/>
      <c r="E8" s="274"/>
      <c r="F8" s="275"/>
      <c r="H8" s="156">
        <f>+COUNTA($E$10:$E$28)</f>
        <v>0</v>
      </c>
    </row>
    <row r="9" spans="1:8" ht="15.75" thickBot="1" x14ac:dyDescent="0.3">
      <c r="B9" s="284"/>
      <c r="C9" s="289" t="s">
        <v>269</v>
      </c>
      <c r="D9" s="290"/>
      <c r="E9" s="153" t="s">
        <v>271</v>
      </c>
      <c r="F9" s="153" t="s">
        <v>272</v>
      </c>
      <c r="H9" s="156">
        <f>+COUNTA($F$10:$F$28)</f>
        <v>0</v>
      </c>
    </row>
    <row r="10" spans="1:8" ht="15.75" thickBot="1" x14ac:dyDescent="0.3">
      <c r="B10" s="152">
        <v>1</v>
      </c>
      <c r="C10" s="270" t="s">
        <v>273</v>
      </c>
      <c r="D10" s="271"/>
      <c r="E10" s="148"/>
      <c r="F10" s="149"/>
      <c r="H10" s="156">
        <f>+COUNTA($E$10:$E$28)-COUNTA(F10:F28)</f>
        <v>0</v>
      </c>
    </row>
    <row r="11" spans="1:8" ht="15.75" thickBot="1" x14ac:dyDescent="0.3">
      <c r="B11" s="152">
        <v>2</v>
      </c>
      <c r="C11" s="270" t="s">
        <v>275</v>
      </c>
      <c r="D11" s="271" t="s">
        <v>275</v>
      </c>
      <c r="E11" s="148"/>
      <c r="F11" s="149"/>
      <c r="H11" s="157"/>
    </row>
    <row r="12" spans="1:8" ht="15.75" thickBot="1" x14ac:dyDescent="0.3">
      <c r="B12" s="152">
        <v>3</v>
      </c>
      <c r="C12" s="270" t="s">
        <v>276</v>
      </c>
      <c r="D12" s="271" t="s">
        <v>276</v>
      </c>
      <c r="E12" s="148"/>
      <c r="F12" s="149"/>
    </row>
    <row r="13" spans="1:8" ht="15.75" thickBot="1" x14ac:dyDescent="0.3">
      <c r="B13" s="152">
        <v>4</v>
      </c>
      <c r="C13" s="270" t="s">
        <v>386</v>
      </c>
      <c r="D13" s="271" t="s">
        <v>277</v>
      </c>
      <c r="E13" s="148"/>
      <c r="F13" s="149"/>
    </row>
    <row r="14" spans="1:8" ht="15.75" thickBot="1" x14ac:dyDescent="0.3">
      <c r="B14" s="152">
        <v>5</v>
      </c>
      <c r="C14" s="270" t="s">
        <v>278</v>
      </c>
      <c r="D14" s="271" t="s">
        <v>278</v>
      </c>
      <c r="E14" s="148"/>
      <c r="F14" s="149"/>
    </row>
    <row r="15" spans="1:8" ht="15.75" thickBot="1" x14ac:dyDescent="0.3">
      <c r="B15" s="152">
        <v>6</v>
      </c>
      <c r="C15" s="270" t="s">
        <v>279</v>
      </c>
      <c r="D15" s="271" t="s">
        <v>279</v>
      </c>
      <c r="E15" s="148"/>
      <c r="F15" s="149"/>
    </row>
    <row r="16" spans="1:8" ht="15.75" thickBot="1" x14ac:dyDescent="0.3">
      <c r="B16" s="152">
        <v>7</v>
      </c>
      <c r="C16" s="270" t="s">
        <v>280</v>
      </c>
      <c r="D16" s="271" t="s">
        <v>280</v>
      </c>
      <c r="E16" s="148"/>
      <c r="F16" s="149"/>
    </row>
    <row r="17" spans="2:7" ht="28.5" customHeight="1" thickBot="1" x14ac:dyDescent="0.3">
      <c r="B17" s="152">
        <v>8</v>
      </c>
      <c r="C17" s="270" t="s">
        <v>281</v>
      </c>
      <c r="D17" s="271" t="s">
        <v>281</v>
      </c>
      <c r="E17" s="148"/>
      <c r="F17" s="149"/>
    </row>
    <row r="18" spans="2:7" ht="18.75" customHeight="1" thickBot="1" x14ac:dyDescent="0.3">
      <c r="B18" s="152">
        <v>9</v>
      </c>
      <c r="C18" s="270" t="s">
        <v>282</v>
      </c>
      <c r="D18" s="271" t="s">
        <v>282</v>
      </c>
      <c r="E18" s="148"/>
      <c r="F18" s="149"/>
    </row>
    <row r="19" spans="2:7" ht="15.75" thickBot="1" x14ac:dyDescent="0.3">
      <c r="B19" s="152">
        <v>10</v>
      </c>
      <c r="C19" s="270" t="s">
        <v>283</v>
      </c>
      <c r="D19" s="271" t="s">
        <v>283</v>
      </c>
      <c r="E19" s="148"/>
      <c r="F19" s="149"/>
    </row>
    <row r="20" spans="2:7" ht="15.75" thickBot="1" x14ac:dyDescent="0.3">
      <c r="B20" s="152">
        <v>11</v>
      </c>
      <c r="C20" s="270" t="s">
        <v>284</v>
      </c>
      <c r="D20" s="271" t="s">
        <v>284</v>
      </c>
      <c r="E20" s="148"/>
      <c r="F20" s="149"/>
    </row>
    <row r="21" spans="2:7" ht="15.75" thickBot="1" x14ac:dyDescent="0.3">
      <c r="B21" s="152">
        <v>12</v>
      </c>
      <c r="C21" s="270" t="s">
        <v>285</v>
      </c>
      <c r="D21" s="271" t="s">
        <v>285</v>
      </c>
      <c r="E21" s="148"/>
      <c r="F21" s="149"/>
    </row>
    <row r="22" spans="2:7" ht="15.75" thickBot="1" x14ac:dyDescent="0.3">
      <c r="B22" s="152">
        <v>13</v>
      </c>
      <c r="C22" s="270" t="s">
        <v>286</v>
      </c>
      <c r="D22" s="271" t="s">
        <v>286</v>
      </c>
      <c r="E22" s="148"/>
      <c r="F22" s="149"/>
    </row>
    <row r="23" spans="2:7" ht="15.75" thickBot="1" x14ac:dyDescent="0.3">
      <c r="B23" s="152">
        <v>14</v>
      </c>
      <c r="C23" s="270" t="s">
        <v>287</v>
      </c>
      <c r="D23" s="271" t="s">
        <v>287</v>
      </c>
      <c r="E23" s="148"/>
      <c r="F23" s="149"/>
    </row>
    <row r="24" spans="2:7" ht="15.75" thickBot="1" x14ac:dyDescent="0.3">
      <c r="B24" s="152">
        <v>15</v>
      </c>
      <c r="C24" s="270" t="s">
        <v>288</v>
      </c>
      <c r="D24" s="271" t="s">
        <v>288</v>
      </c>
      <c r="E24" s="148"/>
      <c r="F24" s="149"/>
    </row>
    <row r="25" spans="2:7" ht="15.75" thickBot="1" x14ac:dyDescent="0.3">
      <c r="B25" s="152">
        <v>16</v>
      </c>
      <c r="C25" s="270" t="s">
        <v>289</v>
      </c>
      <c r="D25" s="271" t="s">
        <v>289</v>
      </c>
      <c r="E25" s="148"/>
      <c r="F25" s="149"/>
    </row>
    <row r="26" spans="2:7" ht="15.75" thickBot="1" x14ac:dyDescent="0.3">
      <c r="B26" s="152">
        <v>17</v>
      </c>
      <c r="C26" s="270" t="s">
        <v>290</v>
      </c>
      <c r="D26" s="271" t="s">
        <v>290</v>
      </c>
      <c r="E26" s="148"/>
      <c r="F26" s="149"/>
    </row>
    <row r="27" spans="2:7" ht="15.75" thickBot="1" x14ac:dyDescent="0.3">
      <c r="B27" s="152">
        <v>18</v>
      </c>
      <c r="C27" s="270" t="s">
        <v>291</v>
      </c>
      <c r="D27" s="271" t="s">
        <v>291</v>
      </c>
      <c r="E27" s="148"/>
      <c r="F27" s="149"/>
    </row>
    <row r="28" spans="2:7" ht="15.75" thickBot="1" x14ac:dyDescent="0.3">
      <c r="B28" s="152">
        <v>19</v>
      </c>
      <c r="C28" s="270" t="s">
        <v>292</v>
      </c>
      <c r="D28" s="271"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2:D12"/>
    <mergeCell ref="D2:D5"/>
    <mergeCell ref="B7:B9"/>
    <mergeCell ref="C7:D8"/>
    <mergeCell ref="C9:D9"/>
    <mergeCell ref="C11:D11"/>
    <mergeCell ref="B2:C5"/>
    <mergeCell ref="C10:D10"/>
    <mergeCell ref="E7:F8"/>
    <mergeCell ref="E2:F2"/>
    <mergeCell ref="E3:F3"/>
    <mergeCell ref="E4:F4"/>
    <mergeCell ref="E5:F5"/>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s>
  <conditionalFormatting sqref="G29">
    <cfRule type="cellIs" dxfId="28" priority="1" stopIfTrue="1" operator="equal">
      <formula>"Catastrófico"</formula>
    </cfRule>
    <cfRule type="cellIs" dxfId="27" priority="2" stopIfTrue="1" operator="equal">
      <formula>"Moderado"</formula>
    </cfRule>
    <cfRule type="cellIs" dxfId="26"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E31"/>
  <sheetViews>
    <sheetView showGridLines="0" zoomScale="50" zoomScaleNormal="50" workbookViewId="0">
      <pane ySplit="10" topLeftCell="A11" activePane="bottomLeft" state="frozen"/>
      <selection pane="bottomLeft" activeCell="AA13" sqref="AA13:AA14"/>
    </sheetView>
  </sheetViews>
  <sheetFormatPr baseColWidth="10" defaultColWidth="11.42578125" defaultRowHeight="14.25" x14ac:dyDescent="0.2"/>
  <cols>
    <col min="1" max="1" width="11.42578125" style="179"/>
    <col min="2" max="2" width="3" style="179" customWidth="1"/>
    <col min="3" max="3" width="2.5703125" style="179" customWidth="1"/>
    <col min="4" max="4" width="4.7109375" style="180" customWidth="1"/>
    <col min="5" max="5" width="14.7109375" style="180" customWidth="1"/>
    <col min="6" max="6" width="17.140625" style="180" customWidth="1"/>
    <col min="7" max="8" width="12" style="180" customWidth="1"/>
    <col min="9" max="9" width="35.42578125" style="180" hidden="1" customWidth="1"/>
    <col min="10" max="10" width="23.42578125" style="180" hidden="1" customWidth="1"/>
    <col min="11" max="11" width="37.28515625" style="180" customWidth="1"/>
    <col min="12" max="12" width="34.85546875" style="180" hidden="1" customWidth="1"/>
    <col min="13" max="13" width="50.7109375" style="180" customWidth="1"/>
    <col min="14" max="14" width="46.140625" style="179" customWidth="1"/>
    <col min="15" max="17" width="19" style="181" customWidth="1"/>
    <col min="18" max="18" width="17.7109375" style="179" customWidth="1"/>
    <col min="19" max="19" width="16.42578125" style="179" customWidth="1"/>
    <col min="20" max="20" width="6.28515625" style="179" bestFit="1" customWidth="1"/>
    <col min="21" max="22" width="28.7109375" style="179" customWidth="1"/>
    <col min="23" max="23" width="17.42578125" style="179" customWidth="1"/>
    <col min="24" max="24" width="6.28515625" style="179" bestFit="1" customWidth="1"/>
    <col min="25" max="25" width="16" style="179" customWidth="1"/>
    <col min="26" max="26" width="5.7109375" style="179" customWidth="1"/>
    <col min="27" max="27" width="87.5703125" style="179" customWidth="1"/>
    <col min="28" max="28" width="83" style="179" customWidth="1"/>
    <col min="29" max="29" width="15.140625" style="179" bestFit="1" customWidth="1"/>
    <col min="30" max="30" width="6.7109375" style="179" customWidth="1"/>
    <col min="31" max="31" width="5" style="179" customWidth="1"/>
    <col min="32" max="32" width="5.42578125" style="179" customWidth="1"/>
    <col min="33" max="33" width="7.140625" style="179" customWidth="1"/>
    <col min="34" max="34" width="6.7109375" style="179" customWidth="1"/>
    <col min="35" max="35" width="7.140625" style="179" customWidth="1"/>
    <col min="36" max="36" width="22.28515625" style="179" customWidth="1"/>
    <col min="37" max="37" width="13.7109375" style="179" customWidth="1"/>
    <col min="38" max="38" width="8.7109375" style="179" customWidth="1"/>
    <col min="39" max="39" width="10.42578125" style="179" customWidth="1"/>
    <col min="40" max="40" width="9.28515625" style="179" customWidth="1"/>
    <col min="41" max="41" width="9.140625" style="179" customWidth="1"/>
    <col min="42" max="42" width="8.42578125" style="179" customWidth="1"/>
    <col min="43" max="43" width="7.28515625" style="179" customWidth="1"/>
    <col min="44" max="44" width="44.28515625" style="179" hidden="1" customWidth="1"/>
    <col min="45" max="45" width="33.85546875" style="179" customWidth="1"/>
    <col min="46" max="46" width="18.7109375" style="179" customWidth="1"/>
    <col min="47" max="47" width="16.7109375" style="179" customWidth="1"/>
    <col min="48" max="48" width="14.7109375" style="179" customWidth="1"/>
    <col min="49" max="49" width="18.42578125" style="179" customWidth="1"/>
    <col min="50" max="50" width="21" style="179" customWidth="1"/>
    <col min="51" max="51" width="14.140625" style="179" customWidth="1"/>
    <col min="52" max="52" width="17.7109375" style="179" customWidth="1"/>
    <col min="53" max="54" width="20.7109375" style="179" customWidth="1"/>
    <col min="55" max="55" width="15.42578125" style="179" customWidth="1"/>
    <col min="56" max="56" width="19.5703125" style="179" customWidth="1"/>
    <col min="57" max="57" width="17.28515625" style="179" customWidth="1"/>
    <col min="58" max="16384" width="11.42578125" style="179"/>
  </cols>
  <sheetData>
    <row r="1" spans="1:83" ht="15" thickBot="1" x14ac:dyDescent="0.25"/>
    <row r="2" spans="1:83" ht="27.75" customHeight="1" x14ac:dyDescent="0.2">
      <c r="D2" s="336" t="s">
        <v>301</v>
      </c>
      <c r="E2" s="337"/>
      <c r="F2" s="337"/>
      <c r="G2" s="337"/>
      <c r="H2" s="337"/>
      <c r="I2" s="235"/>
      <c r="J2" s="246"/>
      <c r="K2" s="342" t="s">
        <v>205</v>
      </c>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3"/>
      <c r="BD2" s="326" t="s">
        <v>375</v>
      </c>
      <c r="BE2" s="327"/>
    </row>
    <row r="3" spans="1:83" ht="27.75" customHeight="1" x14ac:dyDescent="0.2">
      <c r="D3" s="338"/>
      <c r="E3" s="339"/>
      <c r="F3" s="339"/>
      <c r="G3" s="339"/>
      <c r="H3" s="339"/>
      <c r="I3" s="233"/>
      <c r="J3" s="243"/>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5"/>
      <c r="BD3" s="327" t="s">
        <v>242</v>
      </c>
      <c r="BE3" s="328"/>
    </row>
    <row r="4" spans="1:83" ht="27.75" customHeight="1" x14ac:dyDescent="0.2">
      <c r="D4" s="338"/>
      <c r="E4" s="339"/>
      <c r="F4" s="339"/>
      <c r="G4" s="339"/>
      <c r="H4" s="339"/>
      <c r="I4" s="233"/>
      <c r="J4" s="243"/>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5"/>
      <c r="BD4" s="327" t="s">
        <v>387</v>
      </c>
      <c r="BE4" s="328"/>
    </row>
    <row r="5" spans="1:83" ht="27.75" customHeight="1" thickBot="1" x14ac:dyDescent="0.25">
      <c r="D5" s="340"/>
      <c r="E5" s="341"/>
      <c r="F5" s="341"/>
      <c r="G5" s="341"/>
      <c r="H5" s="341"/>
      <c r="I5" s="234"/>
      <c r="J5" s="247"/>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7"/>
      <c r="BD5" s="327" t="s">
        <v>206</v>
      </c>
      <c r="BE5" s="328"/>
    </row>
    <row r="6" spans="1:83" ht="13.9" customHeight="1" x14ac:dyDescent="0.25">
      <c r="D6" s="119"/>
      <c r="E6" s="120"/>
      <c r="F6" s="120"/>
      <c r="G6" s="120"/>
      <c r="H6" s="120"/>
      <c r="I6" s="120"/>
      <c r="J6" s="120"/>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22"/>
      <c r="BE6" s="121"/>
    </row>
    <row r="7" spans="1:83" ht="26.25" customHeight="1" x14ac:dyDescent="0.2">
      <c r="D7" s="308" t="s">
        <v>42</v>
      </c>
      <c r="E7" s="309"/>
      <c r="F7" s="309"/>
      <c r="G7" s="310"/>
      <c r="H7" s="311" t="s">
        <v>427</v>
      </c>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row>
    <row r="8" spans="1:83" ht="54" customHeight="1" x14ac:dyDescent="0.2">
      <c r="D8" s="308" t="s">
        <v>129</v>
      </c>
      <c r="E8" s="309"/>
      <c r="F8" s="309"/>
      <c r="G8" s="310"/>
      <c r="H8" s="311" t="s">
        <v>430</v>
      </c>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row>
    <row r="9" spans="1:83" ht="24" customHeight="1" x14ac:dyDescent="0.2">
      <c r="D9" s="308" t="s">
        <v>43</v>
      </c>
      <c r="E9" s="309"/>
      <c r="F9" s="309"/>
      <c r="G9" s="310"/>
      <c r="H9" s="311" t="s">
        <v>428</v>
      </c>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row>
    <row r="10" spans="1:83" s="184" customFormat="1" ht="24" customHeight="1" x14ac:dyDescent="0.2">
      <c r="D10" s="185"/>
      <c r="E10" s="186"/>
      <c r="F10" s="187"/>
      <c r="G10" s="187"/>
      <c r="H10" s="185"/>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9"/>
      <c r="AZ10" s="189"/>
      <c r="BA10" s="189"/>
      <c r="BB10" s="189"/>
      <c r="BC10" s="189"/>
      <c r="BD10" s="189"/>
      <c r="BE10" s="189"/>
    </row>
    <row r="11" spans="1:83" s="184" customFormat="1" ht="37.5" customHeight="1" x14ac:dyDescent="0.25">
      <c r="A11" s="306" t="s">
        <v>266</v>
      </c>
      <c r="B11" s="306"/>
      <c r="C11" s="307"/>
      <c r="D11" s="315" t="s">
        <v>304</v>
      </c>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16"/>
      <c r="AS11" s="316"/>
      <c r="AT11" s="316"/>
      <c r="AU11" s="316"/>
      <c r="AV11" s="316"/>
      <c r="AW11" s="316"/>
      <c r="AX11" s="316"/>
      <c r="AY11" s="317" t="s">
        <v>302</v>
      </c>
      <c r="AZ11" s="318"/>
      <c r="BA11" s="318"/>
      <c r="BB11" s="319"/>
      <c r="BC11" s="320" t="s">
        <v>303</v>
      </c>
      <c r="BD11" s="321"/>
      <c r="BE11" s="322"/>
    </row>
    <row r="12" spans="1:83" ht="24.75" customHeight="1" x14ac:dyDescent="0.2">
      <c r="D12" s="325" t="s">
        <v>137</v>
      </c>
      <c r="E12" s="325"/>
      <c r="F12" s="325"/>
      <c r="G12" s="325"/>
      <c r="H12" s="325"/>
      <c r="I12" s="350"/>
      <c r="J12" s="350"/>
      <c r="K12" s="350"/>
      <c r="L12" s="350"/>
      <c r="M12" s="350"/>
      <c r="N12" s="350"/>
      <c r="O12" s="350"/>
      <c r="P12" s="350"/>
      <c r="Q12" s="350"/>
      <c r="R12" s="350"/>
      <c r="S12" s="350" t="s">
        <v>138</v>
      </c>
      <c r="T12" s="350"/>
      <c r="U12" s="350"/>
      <c r="V12" s="350"/>
      <c r="W12" s="350"/>
      <c r="X12" s="350"/>
      <c r="Y12" s="350"/>
      <c r="Z12" s="350" t="s">
        <v>139</v>
      </c>
      <c r="AA12" s="350"/>
      <c r="AB12" s="350"/>
      <c r="AC12" s="350"/>
      <c r="AD12" s="350"/>
      <c r="AE12" s="350"/>
      <c r="AF12" s="350"/>
      <c r="AG12" s="350"/>
      <c r="AH12" s="350"/>
      <c r="AI12" s="350"/>
      <c r="AJ12" s="303" t="s">
        <v>18</v>
      </c>
      <c r="AK12" s="629" t="s">
        <v>140</v>
      </c>
      <c r="AL12" s="630"/>
      <c r="AM12" s="630"/>
      <c r="AN12" s="630"/>
      <c r="AO12" s="630"/>
      <c r="AP12" s="630"/>
      <c r="AQ12" s="630"/>
      <c r="AR12" s="630" t="s">
        <v>34</v>
      </c>
      <c r="AS12" s="630"/>
      <c r="AT12" s="630"/>
      <c r="AU12" s="630"/>
      <c r="AV12" s="630"/>
      <c r="AW12" s="630"/>
      <c r="AX12" s="630"/>
      <c r="AY12" s="630"/>
      <c r="AZ12" s="630"/>
      <c r="BA12" s="630"/>
      <c r="BB12" s="630"/>
      <c r="BC12" s="630"/>
      <c r="BD12" s="630"/>
      <c r="BE12" s="630"/>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row>
    <row r="13" spans="1:83" ht="33" customHeight="1" x14ac:dyDescent="0.2">
      <c r="D13" s="314" t="s">
        <v>0</v>
      </c>
      <c r="E13" s="324" t="s">
        <v>311</v>
      </c>
      <c r="F13" s="628" t="s">
        <v>2</v>
      </c>
      <c r="G13" s="348" t="s">
        <v>316</v>
      </c>
      <c r="H13" s="325" t="s">
        <v>224</v>
      </c>
      <c r="I13" s="297" t="s">
        <v>390</v>
      </c>
      <c r="J13" s="298"/>
      <c r="K13" s="324" t="s">
        <v>307</v>
      </c>
      <c r="L13" s="348" t="s">
        <v>431</v>
      </c>
      <c r="M13" s="324" t="s">
        <v>308</v>
      </c>
      <c r="N13" s="325" t="s">
        <v>1</v>
      </c>
      <c r="O13" s="348" t="s">
        <v>49</v>
      </c>
      <c r="P13" s="301" t="s">
        <v>390</v>
      </c>
      <c r="Q13" s="302"/>
      <c r="R13" s="324" t="s">
        <v>133</v>
      </c>
      <c r="S13" s="324" t="s">
        <v>33</v>
      </c>
      <c r="T13" s="325" t="s">
        <v>5</v>
      </c>
      <c r="U13" s="324" t="s">
        <v>86</v>
      </c>
      <c r="V13" s="324" t="s">
        <v>91</v>
      </c>
      <c r="W13" s="324" t="s">
        <v>44</v>
      </c>
      <c r="X13" s="325" t="s">
        <v>5</v>
      </c>
      <c r="Y13" s="324" t="s">
        <v>47</v>
      </c>
      <c r="Z13" s="335" t="s">
        <v>11</v>
      </c>
      <c r="AA13" s="324" t="s">
        <v>159</v>
      </c>
      <c r="AB13" s="324" t="s">
        <v>204</v>
      </c>
      <c r="AC13" s="324" t="s">
        <v>12</v>
      </c>
      <c r="AD13" s="324" t="s">
        <v>8</v>
      </c>
      <c r="AE13" s="324"/>
      <c r="AF13" s="324"/>
      <c r="AG13" s="324"/>
      <c r="AH13" s="324"/>
      <c r="AI13" s="324"/>
      <c r="AJ13" s="304"/>
      <c r="AK13" s="335" t="s">
        <v>136</v>
      </c>
      <c r="AL13" s="335" t="s">
        <v>45</v>
      </c>
      <c r="AM13" s="335" t="s">
        <v>5</v>
      </c>
      <c r="AN13" s="335" t="s">
        <v>46</v>
      </c>
      <c r="AO13" s="335" t="s">
        <v>5</v>
      </c>
      <c r="AP13" s="335" t="s">
        <v>48</v>
      </c>
      <c r="AQ13" s="335" t="s">
        <v>29</v>
      </c>
      <c r="AR13" s="245" t="s">
        <v>432</v>
      </c>
      <c r="AS13" s="324" t="s">
        <v>34</v>
      </c>
      <c r="AT13" s="324" t="s">
        <v>35</v>
      </c>
      <c r="AU13" s="324" t="s">
        <v>36</v>
      </c>
      <c r="AV13" s="324" t="s">
        <v>37</v>
      </c>
      <c r="AW13" s="324" t="s">
        <v>212</v>
      </c>
      <c r="AX13" s="324" t="s">
        <v>38</v>
      </c>
      <c r="AY13" s="331" t="s">
        <v>37</v>
      </c>
      <c r="AZ13" s="333" t="s">
        <v>213</v>
      </c>
      <c r="BA13" s="333" t="s">
        <v>38</v>
      </c>
      <c r="BB13" s="329" t="s">
        <v>243</v>
      </c>
      <c r="BC13" s="323" t="s">
        <v>37</v>
      </c>
      <c r="BD13" s="323" t="s">
        <v>214</v>
      </c>
      <c r="BE13" s="323" t="s">
        <v>38</v>
      </c>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row>
    <row r="14" spans="1:83" s="195" customFormat="1" ht="94.5" customHeight="1" x14ac:dyDescent="0.25">
      <c r="A14" s="192"/>
      <c r="B14" s="192"/>
      <c r="C14" s="192"/>
      <c r="D14" s="314"/>
      <c r="E14" s="324"/>
      <c r="F14" s="350"/>
      <c r="G14" s="349"/>
      <c r="H14" s="325"/>
      <c r="I14" s="191" t="s">
        <v>396</v>
      </c>
      <c r="J14" s="190" t="s">
        <v>397</v>
      </c>
      <c r="K14" s="324"/>
      <c r="L14" s="349"/>
      <c r="M14" s="324"/>
      <c r="N14" s="325"/>
      <c r="O14" s="349"/>
      <c r="P14" s="212" t="s">
        <v>240</v>
      </c>
      <c r="Q14" s="212" t="s">
        <v>241</v>
      </c>
      <c r="R14" s="324"/>
      <c r="S14" s="324"/>
      <c r="T14" s="325"/>
      <c r="U14" s="324"/>
      <c r="V14" s="324"/>
      <c r="W14" s="325"/>
      <c r="X14" s="325"/>
      <c r="Y14" s="324"/>
      <c r="Z14" s="335"/>
      <c r="AA14" s="324"/>
      <c r="AB14" s="324"/>
      <c r="AC14" s="324"/>
      <c r="AD14" s="193" t="s">
        <v>13</v>
      </c>
      <c r="AE14" s="193" t="s">
        <v>17</v>
      </c>
      <c r="AF14" s="193" t="s">
        <v>28</v>
      </c>
      <c r="AG14" s="193" t="s">
        <v>18</v>
      </c>
      <c r="AH14" s="193" t="s">
        <v>21</v>
      </c>
      <c r="AI14" s="193" t="s">
        <v>24</v>
      </c>
      <c r="AJ14" s="305"/>
      <c r="AK14" s="335"/>
      <c r="AL14" s="335"/>
      <c r="AM14" s="335"/>
      <c r="AN14" s="335"/>
      <c r="AO14" s="335"/>
      <c r="AP14" s="335"/>
      <c r="AQ14" s="335"/>
      <c r="AR14" s="191" t="s">
        <v>401</v>
      </c>
      <c r="AS14" s="324"/>
      <c r="AT14" s="324"/>
      <c r="AU14" s="324"/>
      <c r="AV14" s="324"/>
      <c r="AW14" s="324"/>
      <c r="AX14" s="324"/>
      <c r="AY14" s="332"/>
      <c r="AZ14" s="334"/>
      <c r="BA14" s="334"/>
      <c r="BB14" s="330"/>
      <c r="BC14" s="323"/>
      <c r="BD14" s="323"/>
      <c r="BE14" s="323"/>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row>
    <row r="15" spans="1:83" s="196" customFormat="1" ht="148.5" customHeight="1" x14ac:dyDescent="0.25">
      <c r="D15" s="213">
        <v>1</v>
      </c>
      <c r="E15" s="213" t="s">
        <v>216</v>
      </c>
      <c r="F15" s="213" t="s">
        <v>132</v>
      </c>
      <c r="G15" s="213" t="s">
        <v>313</v>
      </c>
      <c r="H15" s="213" t="s">
        <v>228</v>
      </c>
      <c r="I15" s="213"/>
      <c r="J15" s="213"/>
      <c r="K15" s="218" t="s">
        <v>402</v>
      </c>
      <c r="L15" s="218"/>
      <c r="M15" s="218" t="s">
        <v>406</v>
      </c>
      <c r="N15" s="636" t="s">
        <v>410</v>
      </c>
      <c r="O15" s="198" t="s">
        <v>433</v>
      </c>
      <c r="P15" s="198" t="s">
        <v>233</v>
      </c>
      <c r="Q15" s="638" t="s">
        <v>235</v>
      </c>
      <c r="R15" s="639">
        <v>24</v>
      </c>
      <c r="S15" s="239" t="str">
        <f>IF(R15&lt;=0,"",IF(R15&lt;=2,"Muy Baja",IF(R15&lt;=24,"Baja",IF(R15&lt;=500,"Media",IF(R15&lt;=5000,"Alta","Muy Alta")))))</f>
        <v>Baja</v>
      </c>
      <c r="T15" s="240">
        <f>IF(S15="","",IF(S15="Muy Baja",0.2,IF(S15="Baja",0.4,IF(S15="Media",0.6,IF(S15="Alta",0.8,IF(S15="Muy Alta",1,))))))</f>
        <v>0.4</v>
      </c>
      <c r="U15" s="241" t="s">
        <v>151</v>
      </c>
      <c r="V15" s="240" t="str">
        <f>IF(NOT(ISERROR(MATCH(U15,'[2]Tabla Impacto'!$B$221:$B$223,0))),'[2]Tabla Impacto'!$F$223&amp;"Por favor no seleccionar los criterios de impacto(Afectación Económica o presupuestal y Pérdida Reputacional)",U15)</f>
        <v xml:space="preserve">     El riesgo afecta la imagen de la entidad con algunos usuarios de relevancia frente al logro de los objetivos</v>
      </c>
      <c r="W15" s="242" t="str">
        <f>IF(OR(V15='[3]Tabla Impacto'!$C$11,V15='[3]Tabla Impacto'!$D$11),"Leve",IF(OR(V15='[3]Tabla Impacto'!$C$12,V15='[3]Tabla Impacto'!$D$12),"Menor",IF(OR(V15='[3]Tabla Impacto'!$C$13,V15='[3]Tabla Impacto'!$D$13),"Moderado",IF(OR(V15='[3]Tabla Impacto'!$C$14,V15='[3]Tabla Impacto'!$D$14),"Mayor",IF(OR(V15='[3]Tabla Impacto'!$C$15,V15='[3]Tabla Impacto'!$D$15),"Catastrófico","")))))</f>
        <v>Moderado</v>
      </c>
      <c r="X15" s="240">
        <f>IF(W15="","",IF(W15="Leve",0.2,IF(W15="Menor",0.4,IF(W15="Moderado",0.6,IF(W15="Mayor",0.8,IF(W15="Catastrófico",1,))))))</f>
        <v>0.6</v>
      </c>
      <c r="Y15" s="239" t="str">
        <f>IF(OR(AND(S15="Muy Baja",W15="Leve"),AND(S15="Muy Baja",W15="Menor"),AND(S15="Baja",W15="Leve")),"Bajo",IF(OR(AND(S15="Muy baja",W15="Moderado"),AND(S15="Baja",W15="Menor"),AND(S15="Baja",W15="Moderado"),AND(S15="Media",W15="Leve"),AND(S15="Media",W15="Menor"),AND(S15="Media",W15="Moderado"),AND(S15="Alta",W15="Leve"),AND(S15="Alta",W15="Menor")),"Moderado",IF(OR(AND(S15="Muy Baja",W15="Mayor"),AND(S15="Baja",W15="Mayor"),AND(S15="Media",W15="Mayor"),AND(S15="Alta",W15="Moderado"),AND(S15="Alta",W15="Mayor"),AND(S15="Muy Alta",W15="Leve"),AND(S15="Muy Alta",W15="Menor"),AND(S15="Muy Alta",W15="Moderado"),AND(S15="Muy Alta",W15="Mayor")),"Alto",IF(OR(AND(S15="Muy Baja",W15="Catastrófico"),AND(S15="Baja",W15="Catastrófico"),AND(S15="Media",W15="Catastrófico"),AND(S15="Alta",W15="Catastrófico"),AND(S15="Muy Alta",W15="Catastrófico")),"Extremo",""))))</f>
        <v>Moderado</v>
      </c>
      <c r="Z15" s="230">
        <v>1</v>
      </c>
      <c r="AA15" s="232" t="s">
        <v>414</v>
      </c>
      <c r="AB15" s="232" t="s">
        <v>415</v>
      </c>
      <c r="AC15" s="223" t="str">
        <f>IF(OR(AD15="Preventivo",AD15="Detectivo"),"Probabilidad",IF(AD15="Correctivo","Impacto",""))</f>
        <v>Probabilidad</v>
      </c>
      <c r="AD15" s="224" t="s">
        <v>14</v>
      </c>
      <c r="AE15" s="224" t="s">
        <v>9</v>
      </c>
      <c r="AF15" s="220" t="str">
        <f>IF(AND(AD15="Preventivo",AE15="Automático"),"50%",IF(AND(AD15="Preventivo",AE15="Manual"),"40%",IF(AND(AD15="Detectivo",AE15="Automático"),"40%",IF(AND(AD15="Detectivo",AE15="Manual"),"30%",IF(AND(AD15="Correctivo",AE15="Automático"),"35%",IF(AND(AD15="Correctivo",AE15="Manual"),"25%",""))))))</f>
        <v>40%</v>
      </c>
      <c r="AG15" s="224" t="s">
        <v>20</v>
      </c>
      <c r="AH15" s="224" t="s">
        <v>23</v>
      </c>
      <c r="AI15" s="224" t="s">
        <v>118</v>
      </c>
      <c r="AJ15" s="633" t="s">
        <v>420</v>
      </c>
      <c r="AK15" s="225">
        <f>IFERROR(IF(AC15="Probabilidad",(T15-(+T15*AF15)),IF(AC15="Impacto",T15,"")),"")</f>
        <v>0.24</v>
      </c>
      <c r="AL15" s="226" t="str">
        <f>IFERROR(IF(AK15="","",IF(AK15&lt;=0.2,"Muy Baja",IF(AK15&lt;=0.4,"Baja",IF(AK15&lt;=0.6,"Media",IF(AK15&lt;=0.8,"Alta","Muy Alta"))))),"")</f>
        <v>Baja</v>
      </c>
      <c r="AM15" s="220">
        <f t="shared" ref="AM15" si="0">+AK15</f>
        <v>0.24</v>
      </c>
      <c r="AN15" s="226" t="str">
        <f>IFERROR(IF(AO15="","",IF(AO15&lt;=0.2,"Leve",IF(AO15&lt;=0.4,"Menor",IF(AO15&lt;=0.6,"Moderado",IF(AO15&lt;=0.8,"Mayor","Catastrófico"))))),"")</f>
        <v>Moderado</v>
      </c>
      <c r="AO15" s="220">
        <f>IFERROR(IF(AC15="Impacto",(X15-(+X15*AF15)),IF(AC15="Probabilidad",X15,"")),"")</f>
        <v>0.6</v>
      </c>
      <c r="AP15" s="226" t="str">
        <f t="shared" ref="AP15" si="1">IFERROR(IF(OR(AND(AL15="Muy Baja",AN15="Leve"),AND(AL15="Muy Baja",AN15="Menor"),AND(AL15="Baja",AN15="Leve")),"Bajo",IF(OR(AND(AL15="Muy baja",AN15="Moderado"),AND(AL15="Baja",AN15="Menor"),AND(AL15="Baja",AN15="Moderado"),AND(AL15="Media",AN15="Leve"),AND(AL15="Media",AN15="Menor"),AND(AL15="Media",AN15="Moderado"),AND(AL15="Alta",AN15="Leve"),AND(AL15="Alta",AN15="Menor")),"Moderado",IF(OR(AND(AL15="Muy Baja",AN15="Mayor"),AND(AL15="Baja",AN15="Mayor"),AND(AL15="Media",AN15="Mayor"),AND(AL15="Alta",AN15="Moderado"),AND(AL15="Alta",AN15="Mayor"),AND(AL15="Muy Alta",AN15="Leve"),AND(AL15="Muy Alta",AN15="Menor"),AND(AL15="Muy Alta",AN15="Moderado"),AND(AL15="Muy Alta",AN15="Mayor")),"Alto",IF(OR(AND(AL15="Muy Baja",AN15="Catastrófico"),AND(AL15="Baja",AN15="Catastrófico"),AND(AL15="Media",AN15="Catastrófico"),AND(AL15="Alta",AN15="Catastrófico"),AND(AL15="Muy Alta",AN15="Catastrófico")),"Extremo","")))),"")</f>
        <v>Moderado</v>
      </c>
      <c r="AQ15" s="224" t="s">
        <v>134</v>
      </c>
      <c r="AR15" s="224"/>
      <c r="AS15" s="633" t="s">
        <v>422</v>
      </c>
      <c r="AT15" s="634" t="s">
        <v>423</v>
      </c>
      <c r="AU15" s="222">
        <v>45687</v>
      </c>
      <c r="AV15" s="222"/>
      <c r="AW15" s="219"/>
      <c r="AX15" s="219"/>
      <c r="AY15" s="222"/>
      <c r="AZ15" s="219"/>
      <c r="BA15" s="219"/>
      <c r="BB15" s="219"/>
      <c r="BC15" s="222"/>
      <c r="BD15" s="219"/>
      <c r="BE15" s="219"/>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row>
    <row r="16" spans="1:83" s="196" customFormat="1" ht="148.5" customHeight="1" x14ac:dyDescent="0.25">
      <c r="D16" s="213">
        <v>2</v>
      </c>
      <c r="E16" s="213" t="s">
        <v>219</v>
      </c>
      <c r="F16" s="213" t="s">
        <v>132</v>
      </c>
      <c r="G16" s="213" t="s">
        <v>313</v>
      </c>
      <c r="H16" s="213" t="s">
        <v>228</v>
      </c>
      <c r="I16" s="213"/>
      <c r="J16" s="213"/>
      <c r="K16" s="218" t="s">
        <v>403</v>
      </c>
      <c r="L16" s="218"/>
      <c r="M16" s="218" t="s">
        <v>407</v>
      </c>
      <c r="N16" s="636" t="s">
        <v>411</v>
      </c>
      <c r="O16" s="198" t="s">
        <v>433</v>
      </c>
      <c r="P16" s="198" t="s">
        <v>233</v>
      </c>
      <c r="Q16" s="638" t="s">
        <v>235</v>
      </c>
      <c r="R16" s="639">
        <v>20</v>
      </c>
      <c r="S16" s="239" t="str">
        <f t="shared" ref="S16:S17" si="2">IF(R16&lt;=0,"",IF(R16&lt;=2,"Muy Baja",IF(R16&lt;=24,"Baja",IF(R16&lt;=500,"Media",IF(R16&lt;=5000,"Alta","Muy Alta")))))</f>
        <v>Baja</v>
      </c>
      <c r="T16" s="240">
        <f t="shared" ref="T16:T17" si="3">IF(S16="","",IF(S16="Muy Baja",0.2,IF(S16="Baja",0.4,IF(S16="Media",0.6,IF(S16="Alta",0.8,IF(S16="Muy Alta",1,))))))</f>
        <v>0.4</v>
      </c>
      <c r="U16" s="241" t="s">
        <v>151</v>
      </c>
      <c r="V16" s="240" t="str">
        <f>IF(NOT(ISERROR(MATCH(U16,'[2]Tabla Impacto'!$B$221:$B$223,0))),'[2]Tabla Impacto'!$F$223&amp;"Por favor no seleccionar los criterios de impacto(Afectación Económica o presupuestal y Pérdida Reputacional)",U16)</f>
        <v xml:space="preserve">     El riesgo afecta la imagen de la entidad con algunos usuarios de relevancia frente al logro de los objetivos</v>
      </c>
      <c r="W16" s="242" t="str">
        <f>IF(OR(V16='[3]Tabla Impacto'!$C$11,V16='[3]Tabla Impacto'!$D$11),"Leve",IF(OR(V16='[3]Tabla Impacto'!$C$12,V16='[3]Tabla Impacto'!$D$12),"Menor",IF(OR(V16='[3]Tabla Impacto'!$C$13,V16='[3]Tabla Impacto'!$D$13),"Moderado",IF(OR(V16='[3]Tabla Impacto'!$C$14,V16='[3]Tabla Impacto'!$D$14),"Mayor",IF(OR(V16='[3]Tabla Impacto'!$C$15,V16='[3]Tabla Impacto'!$D$15),"Catastrófico","")))))</f>
        <v>Moderado</v>
      </c>
      <c r="X16" s="240">
        <f t="shared" ref="X16:X17" si="4">IF(W16="","",IF(W16="Leve",0.2,IF(W16="Menor",0.4,IF(W16="Moderado",0.6,IF(W16="Mayor",0.8,IF(W16="Catastrófico",1,))))))</f>
        <v>0.6</v>
      </c>
      <c r="Y16" s="239" t="str">
        <f t="shared" ref="Y16:Y17" si="5">IF(OR(AND(S16="Muy Baja",W16="Leve"),AND(S16="Muy Baja",W16="Menor"),AND(S16="Baja",W16="Leve")),"Bajo",IF(OR(AND(S16="Muy baja",W16="Moderado"),AND(S16="Baja",W16="Menor"),AND(S16="Baja",W16="Moderado"),AND(S16="Media",W16="Leve"),AND(S16="Media",W16="Menor"),AND(S16="Media",W16="Moderado"),AND(S16="Alta",W16="Leve"),AND(S16="Alta",W16="Menor")),"Moderado",IF(OR(AND(S16="Muy Baja",W16="Mayor"),AND(S16="Baja",W16="Mayor"),AND(S16="Media",W16="Mayor"),AND(S16="Alta",W16="Moderado"),AND(S16="Alta",W16="Mayor"),AND(S16="Muy Alta",W16="Leve"),AND(S16="Muy Alta",W16="Menor"),AND(S16="Muy Alta",W16="Moderado"),AND(S16="Muy Alta",W16="Mayor")),"Alto",IF(OR(AND(S16="Muy Baja",W16="Catastrófico"),AND(S16="Baja",W16="Catastrófico"),AND(S16="Media",W16="Catastrófico"),AND(S16="Alta",W16="Catastrófico"),AND(S16="Muy Alta",W16="Catastrófico")),"Extremo",""))))</f>
        <v>Moderado</v>
      </c>
      <c r="Z16" s="230">
        <v>1</v>
      </c>
      <c r="AA16" s="232" t="s">
        <v>416</v>
      </c>
      <c r="AB16" s="232" t="s">
        <v>434</v>
      </c>
      <c r="AC16" s="202" t="str">
        <f t="shared" ref="AC16:AC24" si="6">IF(OR(AD16="Preventivo",AD16="Detectivo"),"Probabilidad",IF(AD16="Correctivo","Impacto",""))</f>
        <v>Probabilidad</v>
      </c>
      <c r="AD16" s="203" t="s">
        <v>14</v>
      </c>
      <c r="AE16" s="203" t="s">
        <v>9</v>
      </c>
      <c r="AF16" s="200" t="str">
        <f t="shared" ref="AF16:AF24" si="7">IF(AND(AD16="Preventivo",AE16="Automático"),"50%",IF(AND(AD16="Preventivo",AE16="Manual"),"40%",IF(AND(AD16="Detectivo",AE16="Automático"),"40%",IF(AND(AD16="Detectivo",AE16="Manual"),"30%",IF(AND(AD16="Correctivo",AE16="Automático"),"35%",IF(AND(AD16="Correctivo",AE16="Manual"),"25%",""))))))</f>
        <v>40%</v>
      </c>
      <c r="AG16" s="203" t="s">
        <v>19</v>
      </c>
      <c r="AH16" s="203" t="s">
        <v>22</v>
      </c>
      <c r="AI16" s="203" t="s">
        <v>118</v>
      </c>
      <c r="AJ16" s="227" t="s">
        <v>421</v>
      </c>
      <c r="AK16" s="217">
        <f t="shared" ref="AK16:AK18" si="8">IFERROR(IF(AC16="Probabilidad",(T16-(+T16*AF16)),IF(AC16="Impacto",T16,"")),"")</f>
        <v>0.24</v>
      </c>
      <c r="AL16" s="204" t="str">
        <f t="shared" ref="AL16:AL24" si="9">IFERROR(IF(AK16="","",IF(AK16&lt;=0.2,"Muy Baja",IF(AK16&lt;=0.4,"Baja",IF(AK16&lt;=0.6,"Media",IF(AK16&lt;=0.8,"Alta","Muy Alta"))))),"")</f>
        <v>Baja</v>
      </c>
      <c r="AM16" s="200">
        <f t="shared" ref="AM16:AM24" si="10">+AK16</f>
        <v>0.24</v>
      </c>
      <c r="AN16" s="204" t="str">
        <f t="shared" ref="AN16:AN24" si="11">IFERROR(IF(AO16="","",IF(AO16&lt;=0.2,"Leve",IF(AO16&lt;=0.4,"Menor",IF(AO16&lt;=0.6,"Moderado",IF(AO16&lt;=0.8,"Mayor","Catastrófico"))))),"")</f>
        <v>Moderado</v>
      </c>
      <c r="AO16" s="200">
        <f t="shared" ref="AO16:AO24" si="12">IFERROR(IF(AC16="Impacto",(X16-(+X16*AF16)),IF(AC16="Probabilidad",X16,"")),"")</f>
        <v>0.6</v>
      </c>
      <c r="AP16" s="204" t="str">
        <f t="shared" ref="AP16:AP24" si="13">IFERROR(IF(OR(AND(AL16="Muy Baja",AN16="Leve"),AND(AL16="Muy Baja",AN16="Menor"),AND(AL16="Baja",AN16="Leve")),"Bajo",IF(OR(AND(AL16="Muy baja",AN16="Moderado"),AND(AL16="Baja",AN16="Menor"),AND(AL16="Baja",AN16="Moderado"),AND(AL16="Media",AN16="Leve"),AND(AL16="Media",AN16="Menor"),AND(AL16="Media",AN16="Moderado"),AND(AL16="Alta",AN16="Leve"),AND(AL16="Alta",AN16="Menor")),"Moderado",IF(OR(AND(AL16="Muy Baja",AN16="Mayor"),AND(AL16="Baja",AN16="Mayor"),AND(AL16="Media",AN16="Mayor"),AND(AL16="Alta",AN16="Moderado"),AND(AL16="Alta",AN16="Mayor"),AND(AL16="Muy Alta",AN16="Leve"),AND(AL16="Muy Alta",AN16="Menor"),AND(AL16="Muy Alta",AN16="Moderado"),AND(AL16="Muy Alta",AN16="Mayor")),"Alto",IF(OR(AND(AL16="Muy Baja",AN16="Catastrófico"),AND(AL16="Baja",AN16="Catastrófico"),AND(AL16="Media",AN16="Catastrófico"),AND(AL16="Alta",AN16="Catastrófico"),AND(AL16="Muy Alta",AN16="Catastrófico")),"Extremo","")))),"")</f>
        <v>Moderado</v>
      </c>
      <c r="AQ16" s="203" t="s">
        <v>134</v>
      </c>
      <c r="AR16" s="203"/>
      <c r="AS16" s="634" t="s">
        <v>424</v>
      </c>
      <c r="AT16" s="634" t="s">
        <v>435</v>
      </c>
      <c r="AU16" s="205">
        <v>45687</v>
      </c>
      <c r="AV16" s="205"/>
      <c r="AW16" s="198"/>
      <c r="AX16" s="198"/>
      <c r="AY16" s="205"/>
      <c r="AZ16" s="198"/>
      <c r="BA16" s="198"/>
      <c r="BB16" s="198"/>
      <c r="BC16" s="205"/>
      <c r="BD16" s="198"/>
      <c r="BE16" s="198"/>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row>
    <row r="17" spans="4:83" s="196" customFormat="1" ht="148.5" customHeight="1" x14ac:dyDescent="0.25">
      <c r="D17" s="213">
        <v>3</v>
      </c>
      <c r="E17" s="213" t="s">
        <v>219</v>
      </c>
      <c r="F17" s="213" t="s">
        <v>131</v>
      </c>
      <c r="G17" s="213" t="s">
        <v>313</v>
      </c>
      <c r="H17" s="213" t="s">
        <v>228</v>
      </c>
      <c r="I17" s="213"/>
      <c r="J17" s="213"/>
      <c r="K17" s="218" t="s">
        <v>404</v>
      </c>
      <c r="L17" s="218"/>
      <c r="M17" s="218" t="s">
        <v>408</v>
      </c>
      <c r="N17" s="636" t="s">
        <v>412</v>
      </c>
      <c r="O17" s="198" t="s">
        <v>433</v>
      </c>
      <c r="P17" s="198" t="s">
        <v>369</v>
      </c>
      <c r="Q17" s="638" t="s">
        <v>238</v>
      </c>
      <c r="R17" s="639">
        <v>12</v>
      </c>
      <c r="S17" s="239" t="str">
        <f t="shared" si="2"/>
        <v>Baja</v>
      </c>
      <c r="T17" s="240">
        <f t="shared" si="3"/>
        <v>0.4</v>
      </c>
      <c r="U17" s="241" t="s">
        <v>151</v>
      </c>
      <c r="V17" s="240" t="str">
        <f>IF(NOT(ISERROR(MATCH(U17,'[2]Tabla Impacto'!$B$221:$B$223,0))),'[2]Tabla Impacto'!$F$223&amp;"Por favor no seleccionar los criterios de impacto(Afectación Económica o presupuestal y Pérdida Reputacional)",U17)</f>
        <v xml:space="preserve">     El riesgo afecta la imagen de la entidad con algunos usuarios de relevancia frente al logro de los objetivos</v>
      </c>
      <c r="W17" s="242" t="str">
        <f>IF(OR(V17='[3]Tabla Impacto'!$C$11,V17='[3]Tabla Impacto'!$D$11),"Leve",IF(OR(V17='[3]Tabla Impacto'!$C$12,V17='[3]Tabla Impacto'!$D$12),"Menor",IF(OR(V17='[3]Tabla Impacto'!$C$13,V17='[3]Tabla Impacto'!$D$13),"Moderado",IF(OR(V17='[3]Tabla Impacto'!$C$14,V17='[3]Tabla Impacto'!$D$14),"Mayor",IF(OR(V17='[3]Tabla Impacto'!$C$15,V17='[3]Tabla Impacto'!$D$15),"Catastrófico","")))))</f>
        <v>Moderado</v>
      </c>
      <c r="X17" s="240">
        <f t="shared" si="4"/>
        <v>0.6</v>
      </c>
      <c r="Y17" s="239" t="str">
        <f t="shared" si="5"/>
        <v>Moderado</v>
      </c>
      <c r="Z17" s="230">
        <v>1</v>
      </c>
      <c r="AA17" s="232" t="s">
        <v>436</v>
      </c>
      <c r="AB17" s="232" t="s">
        <v>417</v>
      </c>
      <c r="AC17" s="202" t="str">
        <f t="shared" si="6"/>
        <v>Probabilidad</v>
      </c>
      <c r="AD17" s="203" t="s">
        <v>14</v>
      </c>
      <c r="AE17" s="203" t="s">
        <v>9</v>
      </c>
      <c r="AF17" s="200" t="str">
        <f t="shared" si="7"/>
        <v>40%</v>
      </c>
      <c r="AG17" s="203" t="s">
        <v>19</v>
      </c>
      <c r="AH17" s="203" t="s">
        <v>22</v>
      </c>
      <c r="AI17" s="203" t="s">
        <v>118</v>
      </c>
      <c r="AJ17" s="227" t="s">
        <v>421</v>
      </c>
      <c r="AK17" s="217">
        <f t="shared" si="8"/>
        <v>0.24</v>
      </c>
      <c r="AL17" s="204" t="str">
        <f t="shared" si="9"/>
        <v>Baja</v>
      </c>
      <c r="AM17" s="200">
        <f t="shared" si="10"/>
        <v>0.24</v>
      </c>
      <c r="AN17" s="204" t="str">
        <f t="shared" ref="AN17" si="14">IFERROR(IF(AO17="","",IF(AO17&lt;=0.2,"Leve",IF(AO17&lt;=0.4,"Menor",IF(AO17&lt;=0.6,"Moderado",IF(AO17&lt;=0.8,"Mayor","Catastrófico"))))),"")</f>
        <v>Moderado</v>
      </c>
      <c r="AO17" s="200">
        <f t="shared" ref="AO17" si="15">IFERROR(IF(AC17="Impacto",(X17-(+X17*AF17)),IF(AC17="Probabilidad",X17,"")),"")</f>
        <v>0.6</v>
      </c>
      <c r="AP17" s="204" t="str">
        <f t="shared" ref="AP17" si="16">IFERROR(IF(OR(AND(AL17="Muy Baja",AN17="Leve"),AND(AL17="Muy Baja",AN17="Menor"),AND(AL17="Baja",AN17="Leve")),"Bajo",IF(OR(AND(AL17="Muy baja",AN17="Moderado"),AND(AL17="Baja",AN17="Menor"),AND(AL17="Baja",AN17="Moderado"),AND(AL17="Media",AN17="Leve"),AND(AL17="Media",AN17="Menor"),AND(AL17="Media",AN17="Moderado"),AND(AL17="Alta",AN17="Leve"),AND(AL17="Alta",AN17="Menor")),"Moderado",IF(OR(AND(AL17="Muy Baja",AN17="Mayor"),AND(AL17="Baja",AN17="Mayor"),AND(AL17="Media",AN17="Mayor"),AND(AL17="Alta",AN17="Moderado"),AND(AL17="Alta",AN17="Mayor"),AND(AL17="Muy Alta",AN17="Leve"),AND(AL17="Muy Alta",AN17="Menor"),AND(AL17="Muy Alta",AN17="Moderado"),AND(AL17="Muy Alta",AN17="Mayor")),"Alto",IF(OR(AND(AL17="Muy Baja",AN17="Catastrófico"),AND(AL17="Baja",AN17="Catastrófico"),AND(AL17="Media",AN17="Catastrófico"),AND(AL17="Alta",AN17="Catastrófico"),AND(AL17="Muy Alta",AN17="Catastrófico")),"Extremo","")))),"")</f>
        <v>Moderado</v>
      </c>
      <c r="AQ17" s="203" t="s">
        <v>134</v>
      </c>
      <c r="AR17" s="203"/>
      <c r="AS17" s="634" t="s">
        <v>424</v>
      </c>
      <c r="AT17" s="634" t="s">
        <v>425</v>
      </c>
      <c r="AU17" s="205">
        <v>45687</v>
      </c>
      <c r="AV17" s="205"/>
      <c r="AW17" s="198"/>
      <c r="AX17" s="198"/>
      <c r="AY17" s="205"/>
      <c r="AZ17" s="198"/>
      <c r="BA17" s="198"/>
      <c r="BB17" s="198"/>
      <c r="BC17" s="205"/>
      <c r="BD17" s="198"/>
      <c r="BE17" s="198"/>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row>
    <row r="18" spans="4:83" s="196" customFormat="1" ht="148.5" customHeight="1" x14ac:dyDescent="0.25">
      <c r="D18" s="631">
        <v>4</v>
      </c>
      <c r="E18" s="213" t="s">
        <v>219</v>
      </c>
      <c r="F18" s="213" t="s">
        <v>132</v>
      </c>
      <c r="G18" s="213" t="s">
        <v>313</v>
      </c>
      <c r="H18" s="213" t="s">
        <v>228</v>
      </c>
      <c r="I18" s="197"/>
      <c r="J18" s="197"/>
      <c r="K18" s="637" t="s">
        <v>405</v>
      </c>
      <c r="L18" s="218"/>
      <c r="M18" s="218" t="s">
        <v>409</v>
      </c>
      <c r="N18" s="636" t="s">
        <v>437</v>
      </c>
      <c r="O18" s="198" t="s">
        <v>433</v>
      </c>
      <c r="P18" s="198" t="s">
        <v>234</v>
      </c>
      <c r="Q18" s="638" t="s">
        <v>235</v>
      </c>
      <c r="R18" s="639">
        <v>200</v>
      </c>
      <c r="S18" s="199" t="str">
        <f t="shared" ref="S18:S24" si="17">IF(R18&lt;=0,"",IF(R18&lt;=2,"Muy Baja",IF(R18&lt;=24,"Baja",IF(R18&lt;=500,"Media",IF(R18&lt;=5000,"Alta","Muy Alta")))))</f>
        <v>Media</v>
      </c>
      <c r="T18" s="200">
        <f t="shared" ref="T18:T24" si="18">IF(S18="","",IF(S18="Muy Baja",0.2,IF(S18="Baja",0.4,IF(S18="Media",0.6,IF(S18="Alta",0.8,IF(S18="Muy Alta",1,))))))</f>
        <v>0.6</v>
      </c>
      <c r="U18" s="241" t="s">
        <v>151</v>
      </c>
      <c r="V18" s="240" t="str">
        <f>IF(NOT(ISERROR(MATCH(U18,'[2]Tabla Impacto'!$B$221:$B$223,0))),'[2]Tabla Impacto'!$F$223&amp;"Por favor no seleccionar los criterios de impacto(Afectación Económica o presupuestal y Pérdida Reputacional)",U18)</f>
        <v xml:space="preserve">     El riesgo afecta la imagen de la entidad con algunos usuarios de relevancia frente al logro de los objetivos</v>
      </c>
      <c r="W18" s="221" t="str">
        <f>IF(OR(V18='[3]Tabla Impacto'!$C$11,V18='[3]Tabla Impacto'!$D$11),"Leve",IF(OR(V18='[3]Tabla Impacto'!$C$12,V18='[3]Tabla Impacto'!$D$12),"Menor",IF(OR(V18='[3]Tabla Impacto'!$C$13,V18='[3]Tabla Impacto'!$D$13),"Moderado",IF(OR(V18='[3]Tabla Impacto'!$C$14,V18='[3]Tabla Impacto'!$D$14),"Mayor",IF(OR(V18='[3]Tabla Impacto'!$C$15,V18='[3]Tabla Impacto'!$D$15),"Catastrófico","")))))</f>
        <v>Moderado</v>
      </c>
      <c r="X18" s="200">
        <f t="shared" ref="X18:X24" si="19">IF(W18="","",IF(W18="Leve",0.2,IF(W18="Menor",0.4,IF(W18="Moderado",0.6,IF(W18="Mayor",0.8,IF(W18="Catastrófico",1,))))))</f>
        <v>0.6</v>
      </c>
      <c r="Y18" s="199" t="str">
        <f t="shared" ref="Y18:Y24" si="20">IF(OR(AND(S18="Muy Baja",W18="Leve"),AND(S18="Muy Baja",W18="Menor"),AND(S18="Baja",W18="Leve")),"Bajo",IF(OR(AND(S18="Muy baja",W18="Moderado"),AND(S18="Baja",W18="Menor"),AND(S18="Baja",W18="Moderado"),AND(S18="Media",W18="Leve"),AND(S18="Media",W18="Menor"),AND(S18="Media",W18="Moderado"),AND(S18="Alta",W18="Leve"),AND(S18="Alta",W18="Menor")),"Moderado",IF(OR(AND(S18="Muy Baja",W18="Mayor"),AND(S18="Baja",W18="Mayor"),AND(S18="Media",W18="Mayor"),AND(S18="Alta",W18="Moderado"),AND(S18="Alta",W18="Mayor"),AND(S18="Muy Alta",W18="Leve"),AND(S18="Muy Alta",W18="Menor"),AND(S18="Muy Alta",W18="Moderado"),AND(S18="Muy Alta",W18="Mayor")),"Alto",IF(OR(AND(S18="Muy Baja",W18="Catastrófico"),AND(S18="Baja",W18="Catastrófico"),AND(S18="Media",W18="Catastrófico"),AND(S18="Alta",W18="Catastrófico"),AND(S18="Muy Alta",W18="Catastrófico")),"Extremo",""))))</f>
        <v>Moderado</v>
      </c>
      <c r="Z18" s="230">
        <v>1</v>
      </c>
      <c r="AA18" s="232" t="s">
        <v>418</v>
      </c>
      <c r="AB18" s="232" t="s">
        <v>438</v>
      </c>
      <c r="AC18" s="202" t="str">
        <f t="shared" si="6"/>
        <v>Probabilidad</v>
      </c>
      <c r="AD18" s="203" t="s">
        <v>14</v>
      </c>
      <c r="AE18" s="203" t="s">
        <v>9</v>
      </c>
      <c r="AF18" s="200" t="str">
        <f t="shared" si="7"/>
        <v>40%</v>
      </c>
      <c r="AG18" s="203" t="s">
        <v>19</v>
      </c>
      <c r="AH18" s="203" t="s">
        <v>22</v>
      </c>
      <c r="AI18" s="203" t="s">
        <v>118</v>
      </c>
      <c r="AJ18" s="198" t="s">
        <v>419</v>
      </c>
      <c r="AK18" s="217">
        <f t="shared" si="8"/>
        <v>0.36</v>
      </c>
      <c r="AL18" s="204" t="str">
        <f t="shared" si="9"/>
        <v>Baja</v>
      </c>
      <c r="AM18" s="200">
        <f t="shared" si="10"/>
        <v>0.36</v>
      </c>
      <c r="AN18" s="204" t="str">
        <f t="shared" si="11"/>
        <v>Moderado</v>
      </c>
      <c r="AO18" s="200">
        <f t="shared" si="12"/>
        <v>0.6</v>
      </c>
      <c r="AP18" s="204" t="str">
        <f t="shared" si="13"/>
        <v>Moderado</v>
      </c>
      <c r="AQ18" s="203" t="s">
        <v>134</v>
      </c>
      <c r="AR18" s="203"/>
      <c r="AS18" s="634" t="s">
        <v>426</v>
      </c>
      <c r="AT18" s="634" t="s">
        <v>439</v>
      </c>
      <c r="AU18" s="205">
        <v>45687</v>
      </c>
      <c r="AV18" s="205"/>
      <c r="AW18" s="198"/>
      <c r="AX18" s="198"/>
      <c r="AY18" s="205"/>
      <c r="AZ18" s="198"/>
      <c r="BA18" s="198"/>
      <c r="BB18" s="198"/>
      <c r="BC18" s="205"/>
      <c r="BD18" s="198"/>
      <c r="BE18" s="198"/>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row>
    <row r="19" spans="4:83" s="196" customFormat="1" ht="60" hidden="1" customHeight="1" x14ac:dyDescent="0.25">
      <c r="D19" s="632">
        <v>5</v>
      </c>
      <c r="E19" s="213"/>
      <c r="F19" s="213"/>
      <c r="G19" s="213"/>
      <c r="H19" s="197"/>
      <c r="I19" s="197"/>
      <c r="J19" s="197"/>
      <c r="K19" s="236"/>
      <c r="L19" s="198"/>
      <c r="M19" s="236"/>
      <c r="N19" s="237"/>
      <c r="O19" s="214"/>
      <c r="P19" s="198"/>
      <c r="Q19" s="198"/>
      <c r="R19" s="238"/>
      <c r="S19" s="199" t="str">
        <f t="shared" si="17"/>
        <v/>
      </c>
      <c r="T19" s="200" t="str">
        <f t="shared" si="18"/>
        <v/>
      </c>
      <c r="U19" s="201"/>
      <c r="V19" s="240">
        <f>IF(NOT(ISERROR(MATCH(U19,'[2]Tabla Impacto'!$B$221:$B$223,0))),'[2]Tabla Impacto'!$F$223&amp;"Por favor no seleccionar los criterios de impacto(Afectación Económica o presupuestal y Pérdida Reputacional)",U19)</f>
        <v>0</v>
      </c>
      <c r="W19" s="221" t="str">
        <f>IF(OR(V19='[3]Tabla Impacto'!$C$11,V19='[3]Tabla Impacto'!$D$11),"Leve",IF(OR(V19='[3]Tabla Impacto'!$C$12,V19='[3]Tabla Impacto'!$D$12),"Menor",IF(OR(V19='[3]Tabla Impacto'!$C$13,V19='[3]Tabla Impacto'!$D$13),"Moderado",IF(OR(V19='[3]Tabla Impacto'!$C$14,V19='[3]Tabla Impacto'!$D$14),"Mayor",IF(OR(V19='[3]Tabla Impacto'!$C$15,V19='[3]Tabla Impacto'!$D$15),"Catastrófico","")))))</f>
        <v/>
      </c>
      <c r="X19" s="200" t="str">
        <f t="shared" si="19"/>
        <v/>
      </c>
      <c r="Y19" s="199" t="str">
        <f t="shared" si="20"/>
        <v/>
      </c>
      <c r="Z19" s="230"/>
      <c r="AA19" s="231"/>
      <c r="AB19" s="232"/>
      <c r="AC19" s="202" t="str">
        <f t="shared" si="6"/>
        <v/>
      </c>
      <c r="AD19" s="203"/>
      <c r="AE19" s="203"/>
      <c r="AF19" s="200" t="str">
        <f t="shared" si="7"/>
        <v/>
      </c>
      <c r="AG19" s="203"/>
      <c r="AH19" s="203"/>
      <c r="AI19" s="203"/>
      <c r="AJ19" s="198"/>
      <c r="AK19" s="215" t="str">
        <f t="shared" ref="AK19" si="21">IFERROR(IF(AD19="Probabilidad",(U19-(+U19*AG19)),IF(AD19="Impacto",U19,"")),"")</f>
        <v/>
      </c>
      <c r="AL19" s="204" t="str">
        <f t="shared" si="9"/>
        <v/>
      </c>
      <c r="AM19" s="200" t="str">
        <f t="shared" si="10"/>
        <v/>
      </c>
      <c r="AN19" s="204" t="str">
        <f t="shared" si="11"/>
        <v/>
      </c>
      <c r="AO19" s="200" t="str">
        <f t="shared" si="12"/>
        <v/>
      </c>
      <c r="AP19" s="204" t="str">
        <f t="shared" si="13"/>
        <v/>
      </c>
      <c r="AQ19" s="203"/>
      <c r="AR19" s="203"/>
      <c r="AS19" s="198"/>
      <c r="AT19" s="198"/>
      <c r="AU19" s="205"/>
      <c r="AV19" s="205"/>
      <c r="AW19" s="198"/>
      <c r="AX19" s="198"/>
      <c r="AY19" s="205"/>
      <c r="AZ19" s="198"/>
      <c r="BA19" s="198"/>
      <c r="BB19" s="198"/>
      <c r="BC19" s="205"/>
      <c r="BD19" s="198"/>
      <c r="BE19" s="198"/>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row>
    <row r="20" spans="4:83" s="196" customFormat="1" ht="60" hidden="1" customHeight="1" x14ac:dyDescent="0.25">
      <c r="D20" s="197">
        <v>6</v>
      </c>
      <c r="E20" s="213"/>
      <c r="F20" s="213"/>
      <c r="G20" s="213"/>
      <c r="H20" s="197"/>
      <c r="I20" s="197"/>
      <c r="J20" s="197"/>
      <c r="K20" s="227"/>
      <c r="L20" s="198"/>
      <c r="M20" s="227"/>
      <c r="N20" s="228"/>
      <c r="O20" s="214"/>
      <c r="P20" s="198"/>
      <c r="Q20" s="198"/>
      <c r="R20" s="229"/>
      <c r="S20" s="199" t="str">
        <f t="shared" si="17"/>
        <v/>
      </c>
      <c r="T20" s="200" t="str">
        <f t="shared" si="18"/>
        <v/>
      </c>
      <c r="U20" s="201"/>
      <c r="V20" s="240">
        <f>IF(NOT(ISERROR(MATCH(U20,'[2]Tabla Impacto'!$B$221:$B$223,0))),'[2]Tabla Impacto'!$F$223&amp;"Por favor no seleccionar los criterios de impacto(Afectación Económica o presupuestal y Pérdida Reputacional)",U20)</f>
        <v>0</v>
      </c>
      <c r="W20" s="221" t="str">
        <f>IF(OR(V20='[3]Tabla Impacto'!$C$11,V20='[3]Tabla Impacto'!$D$11),"Leve",IF(OR(V20='[3]Tabla Impacto'!$C$12,V20='[3]Tabla Impacto'!$D$12),"Menor",IF(OR(V20='[3]Tabla Impacto'!$C$13,V20='[3]Tabla Impacto'!$D$13),"Moderado",IF(OR(V20='[3]Tabla Impacto'!$C$14,V20='[3]Tabla Impacto'!$D$14),"Mayor",IF(OR(V20='[3]Tabla Impacto'!$C$15,V20='[3]Tabla Impacto'!$D$15),"Catastrófico","")))))</f>
        <v/>
      </c>
      <c r="X20" s="200" t="str">
        <f t="shared" si="19"/>
        <v/>
      </c>
      <c r="Y20" s="199" t="str">
        <f t="shared" si="20"/>
        <v/>
      </c>
      <c r="Z20" s="230"/>
      <c r="AA20" s="231"/>
      <c r="AB20" s="232"/>
      <c r="AC20" s="202" t="str">
        <f t="shared" si="6"/>
        <v/>
      </c>
      <c r="AD20" s="203"/>
      <c r="AE20" s="203"/>
      <c r="AF20" s="200" t="str">
        <f t="shared" si="7"/>
        <v/>
      </c>
      <c r="AG20" s="203"/>
      <c r="AH20" s="203"/>
      <c r="AI20" s="203"/>
      <c r="AJ20" s="198"/>
      <c r="AK20" s="216" t="str">
        <f>IFERROR(IF(AND(AD19="Probabilidad",AD20="Probabilidad"),(AM19-(+AM19*AG20)),IF(AD20="Probabilidad",(V19-(+V19*AG20)),IF(AD20="Impacto",AM19,""))),"")</f>
        <v/>
      </c>
      <c r="AL20" s="204" t="str">
        <f t="shared" si="9"/>
        <v/>
      </c>
      <c r="AM20" s="200" t="str">
        <f t="shared" si="10"/>
        <v/>
      </c>
      <c r="AN20" s="204" t="str">
        <f t="shared" si="11"/>
        <v/>
      </c>
      <c r="AO20" s="200" t="str">
        <f t="shared" si="12"/>
        <v/>
      </c>
      <c r="AP20" s="204" t="str">
        <f t="shared" si="13"/>
        <v/>
      </c>
      <c r="AQ20" s="203"/>
      <c r="AR20" s="203"/>
      <c r="AS20" s="198"/>
      <c r="AT20" s="198"/>
      <c r="AU20" s="205"/>
      <c r="AV20" s="205"/>
      <c r="AW20" s="198"/>
      <c r="AX20" s="198"/>
      <c r="AY20" s="205"/>
      <c r="AZ20" s="198"/>
      <c r="BA20" s="198"/>
      <c r="BB20" s="198"/>
      <c r="BC20" s="205"/>
      <c r="BD20" s="198"/>
      <c r="BE20" s="198"/>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row>
    <row r="21" spans="4:83" s="196" customFormat="1" ht="60" hidden="1" customHeight="1" x14ac:dyDescent="0.25">
      <c r="D21" s="295">
        <v>7</v>
      </c>
      <c r="E21" s="213"/>
      <c r="F21" s="213"/>
      <c r="G21" s="213"/>
      <c r="H21" s="197"/>
      <c r="I21" s="197"/>
      <c r="J21" s="197"/>
      <c r="K21" s="236"/>
      <c r="L21" s="198"/>
      <c r="M21" s="236"/>
      <c r="N21" s="237"/>
      <c r="O21" s="214"/>
      <c r="P21" s="198"/>
      <c r="Q21" s="198"/>
      <c r="R21" s="238"/>
      <c r="S21" s="199" t="str">
        <f t="shared" ref="S21:S22" si="22">IF(R21&lt;=0,"",IF(R21&lt;=2,"Muy Baja",IF(R21&lt;=24,"Baja",IF(R21&lt;=500,"Media",IF(R21&lt;=5000,"Alta","Muy Alta")))))</f>
        <v/>
      </c>
      <c r="T21" s="200" t="str">
        <f t="shared" ref="T21:T22" si="23">IF(S21="","",IF(S21="Muy Baja",0.2,IF(S21="Baja",0.4,IF(S21="Media",0.6,IF(S21="Alta",0.8,IF(S21="Muy Alta",1,))))))</f>
        <v/>
      </c>
      <c r="U21" s="201"/>
      <c r="V21" s="240">
        <f>IF(NOT(ISERROR(MATCH(U21,'[2]Tabla Impacto'!$B$221:$B$223,0))),'[2]Tabla Impacto'!$F$223&amp;"Por favor no seleccionar los criterios de impacto(Afectación Económica o presupuestal y Pérdida Reputacional)",U21)</f>
        <v>0</v>
      </c>
      <c r="W21" s="221" t="str">
        <f>IF(OR(V21='[3]Tabla Impacto'!$C$11,V21='[3]Tabla Impacto'!$D$11),"Leve",IF(OR(V21='[3]Tabla Impacto'!$C$12,V21='[3]Tabla Impacto'!$D$12),"Menor",IF(OR(V21='[3]Tabla Impacto'!$C$13,V21='[3]Tabla Impacto'!$D$13),"Moderado",IF(OR(V21='[3]Tabla Impacto'!$C$14,V21='[3]Tabla Impacto'!$D$14),"Mayor",IF(OR(V21='[3]Tabla Impacto'!$C$15,V21='[3]Tabla Impacto'!$D$15),"Catastrófico","")))))</f>
        <v/>
      </c>
      <c r="X21" s="200" t="str">
        <f t="shared" ref="X21:X22" si="24">IF(W21="","",IF(W21="Leve",0.2,IF(W21="Menor",0.4,IF(W21="Moderado",0.6,IF(W21="Mayor",0.8,IF(W21="Catastrófico",1,))))))</f>
        <v/>
      </c>
      <c r="Y21" s="199" t="str">
        <f t="shared" ref="Y21:Y22" si="25">IF(OR(AND(S21="Muy Baja",W21="Leve"),AND(S21="Muy Baja",W21="Menor"),AND(S21="Baja",W21="Leve")),"Bajo",IF(OR(AND(S21="Muy baja",W21="Moderado"),AND(S21="Baja",W21="Menor"),AND(S21="Baja",W21="Moderado"),AND(S21="Media",W21="Leve"),AND(S21="Media",W21="Menor"),AND(S21="Media",W21="Moderado"),AND(S21="Alta",W21="Leve"),AND(S21="Alta",W21="Menor")),"Moderado",IF(OR(AND(S21="Muy Baja",W21="Mayor"),AND(S21="Baja",W21="Mayor"),AND(S21="Media",W21="Mayor"),AND(S21="Alta",W21="Moderado"),AND(S21="Alta",W21="Mayor"),AND(S21="Muy Alta",W21="Leve"),AND(S21="Muy Alta",W21="Menor"),AND(S21="Muy Alta",W21="Moderado"),AND(S21="Muy Alta",W21="Mayor")),"Alto",IF(OR(AND(S21="Muy Baja",W21="Catastrófico"),AND(S21="Baja",W21="Catastrófico"),AND(S21="Media",W21="Catastrófico"),AND(S21="Alta",W21="Catastrófico"),AND(S21="Muy Alta",W21="Catastrófico")),"Extremo",""))))</f>
        <v/>
      </c>
      <c r="Z21" s="230"/>
      <c r="AA21" s="231"/>
      <c r="AB21" s="232"/>
      <c r="AC21" s="202" t="str">
        <f t="shared" ref="AC21:AC22" si="26">IF(OR(AD21="Preventivo",AD21="Detectivo"),"Probabilidad",IF(AD21="Correctivo","Impacto",""))</f>
        <v/>
      </c>
      <c r="AD21" s="203"/>
      <c r="AE21" s="203"/>
      <c r="AF21" s="200" t="str">
        <f t="shared" ref="AF21:AF22" si="27">IF(AND(AD21="Preventivo",AE21="Automático"),"50%",IF(AND(AD21="Preventivo",AE21="Manual"),"40%",IF(AND(AD21="Detectivo",AE21="Automático"),"40%",IF(AND(AD21="Detectivo",AE21="Manual"),"30%",IF(AND(AD21="Correctivo",AE21="Automático"),"35%",IF(AND(AD21="Correctivo",AE21="Manual"),"25%",""))))))</f>
        <v/>
      </c>
      <c r="AG21" s="203"/>
      <c r="AH21" s="203"/>
      <c r="AI21" s="203"/>
      <c r="AJ21" s="198"/>
      <c r="AK21" s="216" t="str">
        <f t="shared" ref="AK21:AK22" si="28">IFERROR(IF(AND(AD20="Probabilidad",AD21="Probabilidad"),(AM20-(+AM20*AG21)),IF(AD21="Probabilidad",(V20-(+V20*AG21)),IF(AD21="Impacto",AM20,""))),"")</f>
        <v/>
      </c>
      <c r="AL21" s="204" t="str">
        <f t="shared" ref="AL21:AL22" si="29">IFERROR(IF(AK21="","",IF(AK21&lt;=0.2,"Muy Baja",IF(AK21&lt;=0.4,"Baja",IF(AK21&lt;=0.6,"Media",IF(AK21&lt;=0.8,"Alta","Muy Alta"))))),"")</f>
        <v/>
      </c>
      <c r="AM21" s="200" t="str">
        <f t="shared" ref="AM21:AM22" si="30">+AK21</f>
        <v/>
      </c>
      <c r="AN21" s="204" t="str">
        <f t="shared" ref="AN21:AN22" si="31">IFERROR(IF(AO21="","",IF(AO21&lt;=0.2,"Leve",IF(AO21&lt;=0.4,"Menor",IF(AO21&lt;=0.6,"Moderado",IF(AO21&lt;=0.8,"Mayor","Catastrófico"))))),"")</f>
        <v/>
      </c>
      <c r="AO21" s="200" t="str">
        <f t="shared" ref="AO21:AO22" si="32">IFERROR(IF(AC21="Impacto",(X21-(+X21*AF21)),IF(AC21="Probabilidad",X21,"")),"")</f>
        <v/>
      </c>
      <c r="AP21" s="204" t="str">
        <f t="shared" ref="AP21:AP22" si="33">IFERROR(IF(OR(AND(AL21="Muy Baja",AN21="Leve"),AND(AL21="Muy Baja",AN21="Menor"),AND(AL21="Baja",AN21="Leve")),"Bajo",IF(OR(AND(AL21="Muy baja",AN21="Moderado"),AND(AL21="Baja",AN21="Menor"),AND(AL21="Baja",AN21="Moderado"),AND(AL21="Media",AN21="Leve"),AND(AL21="Media",AN21="Menor"),AND(AL21="Media",AN21="Moderado"),AND(AL21="Alta",AN21="Leve"),AND(AL21="Alta",AN21="Menor")),"Moderado",IF(OR(AND(AL21="Muy Baja",AN21="Mayor"),AND(AL21="Baja",AN21="Mayor"),AND(AL21="Media",AN21="Mayor"),AND(AL21="Alta",AN21="Moderado"),AND(AL21="Alta",AN21="Mayor"),AND(AL21="Muy Alta",AN21="Leve"),AND(AL21="Muy Alta",AN21="Menor"),AND(AL21="Muy Alta",AN21="Moderado"),AND(AL21="Muy Alta",AN21="Mayor")),"Alto",IF(OR(AND(AL21="Muy Baja",AN21="Catastrófico"),AND(AL21="Baja",AN21="Catastrófico"),AND(AL21="Media",AN21="Catastrófico"),AND(AL21="Alta",AN21="Catastrófico"),AND(AL21="Muy Alta",AN21="Catastrófico")),"Extremo","")))),"")</f>
        <v/>
      </c>
      <c r="AQ21" s="203"/>
      <c r="AR21" s="203"/>
      <c r="AS21" s="198"/>
      <c r="AT21" s="198"/>
      <c r="AU21" s="205"/>
      <c r="AV21" s="205"/>
      <c r="AW21" s="198"/>
      <c r="AX21" s="198"/>
      <c r="AY21" s="205"/>
      <c r="AZ21" s="198"/>
      <c r="BA21" s="198"/>
      <c r="BB21" s="198"/>
      <c r="BC21" s="205"/>
      <c r="BD21" s="198"/>
      <c r="BE21" s="198"/>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row>
    <row r="22" spans="4:83" s="196" customFormat="1" ht="60" hidden="1" customHeight="1" x14ac:dyDescent="0.25">
      <c r="D22" s="296"/>
      <c r="E22" s="213"/>
      <c r="F22" s="213"/>
      <c r="G22" s="213"/>
      <c r="H22" s="197"/>
      <c r="I22" s="197"/>
      <c r="J22" s="197"/>
      <c r="K22" s="236"/>
      <c r="L22" s="198"/>
      <c r="M22" s="236"/>
      <c r="N22" s="237"/>
      <c r="O22" s="214"/>
      <c r="P22" s="198"/>
      <c r="Q22" s="198"/>
      <c r="R22" s="238"/>
      <c r="S22" s="199" t="str">
        <f t="shared" si="22"/>
        <v/>
      </c>
      <c r="T22" s="200" t="str">
        <f t="shared" si="23"/>
        <v/>
      </c>
      <c r="U22" s="201"/>
      <c r="V22" s="200">
        <f>IF(NOT(ISERROR(MATCH(U22,'[2]Tabla Impacto'!$B$221:$B$223,0))),'[2]Tabla Impacto'!$F$223&amp;"Por favor no seleccionar los criterios de impacto(Afectación Económica o presupuestal y Pérdida Reputacional)",U22)</f>
        <v>0</v>
      </c>
      <c r="W22" s="221" t="str">
        <f>IF(OR(V22='[3]Tabla Impacto'!$C$11,V22='[3]Tabla Impacto'!$D$11),"Leve",IF(OR(V22='[3]Tabla Impacto'!$C$12,V22='[3]Tabla Impacto'!$D$12),"Menor",IF(OR(V22='[3]Tabla Impacto'!$C$13,V22='[3]Tabla Impacto'!$D$13),"Moderado",IF(OR(V22='[3]Tabla Impacto'!$C$14,V22='[3]Tabla Impacto'!$D$14),"Mayor",IF(OR(V22='[3]Tabla Impacto'!$C$15,V22='[3]Tabla Impacto'!$D$15),"Catastrófico","")))))</f>
        <v/>
      </c>
      <c r="X22" s="200" t="str">
        <f t="shared" si="24"/>
        <v/>
      </c>
      <c r="Y22" s="199" t="str">
        <f t="shared" si="25"/>
        <v/>
      </c>
      <c r="Z22" s="230"/>
      <c r="AA22" s="231"/>
      <c r="AB22" s="232"/>
      <c r="AC22" s="202" t="str">
        <f t="shared" si="26"/>
        <v/>
      </c>
      <c r="AD22" s="203"/>
      <c r="AE22" s="203"/>
      <c r="AF22" s="200" t="str">
        <f t="shared" si="27"/>
        <v/>
      </c>
      <c r="AG22" s="203"/>
      <c r="AH22" s="203"/>
      <c r="AI22" s="203"/>
      <c r="AJ22" s="198"/>
      <c r="AK22" s="216" t="str">
        <f t="shared" si="28"/>
        <v/>
      </c>
      <c r="AL22" s="204" t="str">
        <f t="shared" si="29"/>
        <v/>
      </c>
      <c r="AM22" s="200" t="str">
        <f t="shared" si="30"/>
        <v/>
      </c>
      <c r="AN22" s="204" t="str">
        <f t="shared" si="31"/>
        <v/>
      </c>
      <c r="AO22" s="200" t="str">
        <f t="shared" si="32"/>
        <v/>
      </c>
      <c r="AP22" s="204" t="str">
        <f t="shared" si="33"/>
        <v/>
      </c>
      <c r="AQ22" s="203"/>
      <c r="AR22" s="203"/>
      <c r="AS22" s="198"/>
      <c r="AT22" s="198"/>
      <c r="AU22" s="205"/>
      <c r="AV22" s="205"/>
      <c r="AW22" s="198"/>
      <c r="AX22" s="198"/>
      <c r="AY22" s="205"/>
      <c r="AZ22" s="198"/>
      <c r="BA22" s="198"/>
      <c r="BB22" s="198"/>
      <c r="BC22" s="205"/>
      <c r="BD22" s="198"/>
      <c r="BE22" s="198"/>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row>
    <row r="23" spans="4:83" s="196" customFormat="1" ht="60" hidden="1" customHeight="1" x14ac:dyDescent="0.25">
      <c r="D23" s="197">
        <v>8</v>
      </c>
      <c r="E23" s="213"/>
      <c r="F23" s="213"/>
      <c r="G23" s="213"/>
      <c r="H23" s="197"/>
      <c r="I23" s="197"/>
      <c r="J23" s="197"/>
      <c r="K23" s="227"/>
      <c r="L23" s="198"/>
      <c r="M23" s="227"/>
      <c r="N23" s="228"/>
      <c r="O23" s="214"/>
      <c r="P23" s="198"/>
      <c r="Q23" s="198"/>
      <c r="R23" s="229"/>
      <c r="S23" s="199" t="str">
        <f t="shared" si="17"/>
        <v/>
      </c>
      <c r="T23" s="200" t="str">
        <f t="shared" si="18"/>
        <v/>
      </c>
      <c r="U23" s="201"/>
      <c r="V23" s="200">
        <f>IF(NOT(ISERROR(MATCH(U23,'[2]Tabla Impacto'!$B$221:$B$223,0))),'[2]Tabla Impacto'!$F$223&amp;"Por favor no seleccionar los criterios de impacto(Afectación Económica o presupuestal y Pérdida Reputacional)",U23)</f>
        <v>0</v>
      </c>
      <c r="W23" s="221" t="str">
        <f>IF(OR(V23='[3]Tabla Impacto'!$C$11,V23='[3]Tabla Impacto'!$D$11),"Leve",IF(OR(V23='[3]Tabla Impacto'!$C$12,V23='[3]Tabla Impacto'!$D$12),"Menor",IF(OR(V23='[3]Tabla Impacto'!$C$13,V23='[3]Tabla Impacto'!$D$13),"Moderado",IF(OR(V23='[3]Tabla Impacto'!$C$14,V23='[3]Tabla Impacto'!$D$14),"Mayor",IF(OR(V23='[3]Tabla Impacto'!$C$15,V23='[3]Tabla Impacto'!$D$15),"Catastrófico","")))))</f>
        <v/>
      </c>
      <c r="X23" s="200" t="str">
        <f t="shared" si="19"/>
        <v/>
      </c>
      <c r="Y23" s="199" t="str">
        <f t="shared" si="20"/>
        <v/>
      </c>
      <c r="Z23" s="230"/>
      <c r="AA23" s="231"/>
      <c r="AB23" s="232"/>
      <c r="AC23" s="202" t="str">
        <f t="shared" si="6"/>
        <v/>
      </c>
      <c r="AD23" s="203"/>
      <c r="AE23" s="203"/>
      <c r="AF23" s="200" t="str">
        <f t="shared" si="7"/>
        <v/>
      </c>
      <c r="AG23" s="203"/>
      <c r="AH23" s="203"/>
      <c r="AI23" s="203"/>
      <c r="AJ23" s="198"/>
      <c r="AK23" s="215" t="str">
        <f t="shared" ref="AK23" si="34">IFERROR(IF(AD23="Probabilidad",(U23-(+U23*AG23)),IF(AD23="Impacto",U23,"")),"")</f>
        <v/>
      </c>
      <c r="AL23" s="204" t="str">
        <f t="shared" si="9"/>
        <v/>
      </c>
      <c r="AM23" s="200" t="str">
        <f t="shared" si="10"/>
        <v/>
      </c>
      <c r="AN23" s="204" t="str">
        <f t="shared" si="11"/>
        <v/>
      </c>
      <c r="AO23" s="200" t="str">
        <f t="shared" si="12"/>
        <v/>
      </c>
      <c r="AP23" s="204" t="str">
        <f t="shared" si="13"/>
        <v/>
      </c>
      <c r="AQ23" s="203"/>
      <c r="AR23" s="203"/>
      <c r="AS23" s="198"/>
      <c r="AT23" s="198"/>
      <c r="AU23" s="205"/>
      <c r="AV23" s="205"/>
      <c r="AW23" s="198"/>
      <c r="AX23" s="198"/>
      <c r="AY23" s="205"/>
      <c r="AZ23" s="198"/>
      <c r="BA23" s="198"/>
      <c r="BB23" s="198"/>
      <c r="BC23" s="205"/>
      <c r="BD23" s="198"/>
      <c r="BE23" s="198"/>
      <c r="BF23" s="206"/>
      <c r="BG23" s="206"/>
      <c r="BH23" s="206"/>
      <c r="BI23" s="206"/>
      <c r="BJ23" s="206"/>
      <c r="BK23" s="206"/>
      <c r="BL23" s="206"/>
      <c r="BM23" s="206"/>
      <c r="BN23" s="206"/>
      <c r="BO23" s="206"/>
      <c r="BP23" s="206"/>
      <c r="BQ23" s="206"/>
      <c r="BR23" s="206"/>
      <c r="BS23" s="206"/>
      <c r="BT23" s="206"/>
      <c r="BU23" s="206"/>
      <c r="BV23" s="206"/>
      <c r="BW23" s="206"/>
      <c r="BX23" s="206"/>
      <c r="BY23" s="206"/>
      <c r="BZ23" s="206"/>
      <c r="CA23" s="206"/>
      <c r="CB23" s="206"/>
      <c r="CC23" s="206"/>
      <c r="CD23" s="206"/>
      <c r="CE23" s="206"/>
    </row>
    <row r="24" spans="4:83" s="196" customFormat="1" ht="60" hidden="1" customHeight="1" x14ac:dyDescent="0.25">
      <c r="D24" s="197">
        <v>9</v>
      </c>
      <c r="E24" s="213"/>
      <c r="F24" s="213"/>
      <c r="G24" s="213"/>
      <c r="H24" s="197"/>
      <c r="I24" s="197"/>
      <c r="J24" s="197"/>
      <c r="K24" s="227"/>
      <c r="L24" s="198"/>
      <c r="M24" s="227"/>
      <c r="N24" s="228"/>
      <c r="O24" s="214"/>
      <c r="P24" s="198"/>
      <c r="Q24" s="198"/>
      <c r="R24" s="229"/>
      <c r="S24" s="199" t="str">
        <f t="shared" si="17"/>
        <v/>
      </c>
      <c r="T24" s="200" t="str">
        <f t="shared" si="18"/>
        <v/>
      </c>
      <c r="U24" s="201"/>
      <c r="V24" s="200">
        <f>IF(NOT(ISERROR(MATCH(U24,'[2]Tabla Impacto'!$B$221:$B$223,0))),'[2]Tabla Impacto'!$F$223&amp;"Por favor no seleccionar los criterios de impacto(Afectación Económica o presupuestal y Pérdida Reputacional)",U24)</f>
        <v>0</v>
      </c>
      <c r="W24" s="221" t="str">
        <f>IF(OR(V24='[3]Tabla Impacto'!$C$11,V24='[3]Tabla Impacto'!$D$11),"Leve",IF(OR(V24='[3]Tabla Impacto'!$C$12,V24='[3]Tabla Impacto'!$D$12),"Menor",IF(OR(V24='[3]Tabla Impacto'!$C$13,V24='[3]Tabla Impacto'!$D$13),"Moderado",IF(OR(V24='[3]Tabla Impacto'!$C$14,V24='[3]Tabla Impacto'!$D$14),"Mayor",IF(OR(V24='[3]Tabla Impacto'!$C$15,V24='[3]Tabla Impacto'!$D$15),"Catastrófico","")))))</f>
        <v/>
      </c>
      <c r="X24" s="200" t="str">
        <f t="shared" si="19"/>
        <v/>
      </c>
      <c r="Y24" s="199" t="str">
        <f t="shared" si="20"/>
        <v/>
      </c>
      <c r="Z24" s="230"/>
      <c r="AA24" s="231"/>
      <c r="AB24" s="232"/>
      <c r="AC24" s="202" t="str">
        <f t="shared" si="6"/>
        <v/>
      </c>
      <c r="AD24" s="203"/>
      <c r="AE24" s="203"/>
      <c r="AF24" s="200" t="str">
        <f t="shared" si="7"/>
        <v/>
      </c>
      <c r="AG24" s="203"/>
      <c r="AH24" s="203"/>
      <c r="AI24" s="203"/>
      <c r="AJ24" s="198"/>
      <c r="AK24" s="216" t="str">
        <f>IFERROR(IF(AND(AD23="Probabilidad",AD24="Probabilidad"),(AM23-(+AM23*AG24)),IF(AD24="Probabilidad",(V23-(+V23*AG24)),IF(AD24="Impacto",AM23,""))),"")</f>
        <v/>
      </c>
      <c r="AL24" s="204" t="str">
        <f t="shared" si="9"/>
        <v/>
      </c>
      <c r="AM24" s="200" t="str">
        <f t="shared" si="10"/>
        <v/>
      </c>
      <c r="AN24" s="204" t="str">
        <f t="shared" si="11"/>
        <v/>
      </c>
      <c r="AO24" s="200" t="str">
        <f t="shared" si="12"/>
        <v/>
      </c>
      <c r="AP24" s="204" t="str">
        <f t="shared" si="13"/>
        <v/>
      </c>
      <c r="AQ24" s="203"/>
      <c r="AR24" s="203"/>
      <c r="AS24" s="198"/>
      <c r="AT24" s="198"/>
      <c r="AU24" s="205"/>
      <c r="AV24" s="205"/>
      <c r="AW24" s="198"/>
      <c r="AX24" s="198"/>
      <c r="AY24" s="205"/>
      <c r="AZ24" s="198"/>
      <c r="BA24" s="198"/>
      <c r="BB24" s="198"/>
      <c r="BC24" s="205"/>
      <c r="BD24" s="198"/>
      <c r="BE24" s="198"/>
      <c r="BF24" s="206"/>
      <c r="BG24" s="206"/>
      <c r="BH24" s="206"/>
      <c r="BI24" s="206"/>
      <c r="BJ24" s="206"/>
      <c r="BK24" s="206"/>
      <c r="BL24" s="206"/>
      <c r="BM24" s="206"/>
      <c r="BN24" s="206"/>
      <c r="BO24" s="206"/>
      <c r="BP24" s="206"/>
      <c r="BQ24" s="206"/>
      <c r="BR24" s="206"/>
      <c r="BS24" s="206"/>
      <c r="BT24" s="206"/>
      <c r="BU24" s="206"/>
      <c r="BV24" s="206"/>
      <c r="BW24" s="206"/>
      <c r="BX24" s="206"/>
      <c r="BY24" s="206"/>
      <c r="BZ24" s="206"/>
      <c r="CA24" s="206"/>
      <c r="CB24" s="206"/>
      <c r="CC24" s="206"/>
      <c r="CD24" s="206"/>
      <c r="CE24" s="206"/>
    </row>
    <row r="25" spans="4:83" ht="49.5" customHeight="1" x14ac:dyDescent="0.2">
      <c r="D25" s="207"/>
      <c r="E25" s="208"/>
      <c r="F25" s="208"/>
      <c r="G25" s="208"/>
      <c r="H25" s="208"/>
      <c r="I25" s="244"/>
      <c r="J25" s="244"/>
      <c r="K25" s="357" t="s">
        <v>391</v>
      </c>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8"/>
    </row>
    <row r="27" spans="4:83" ht="15.75" x14ac:dyDescent="0.2">
      <c r="D27" s="109"/>
      <c r="E27" s="110"/>
      <c r="F27" s="110"/>
      <c r="G27" s="110"/>
      <c r="H27" s="110"/>
      <c r="I27" s="110"/>
      <c r="J27" s="110"/>
      <c r="K27" s="110"/>
      <c r="L27" s="110"/>
      <c r="M27" s="110"/>
      <c r="N27" s="110"/>
      <c r="O27" s="179"/>
      <c r="P27" s="179"/>
      <c r="Q27" s="179"/>
      <c r="S27" s="111"/>
      <c r="T27" s="110"/>
      <c r="U27" s="110"/>
      <c r="V27" s="110"/>
      <c r="W27" s="110"/>
      <c r="X27" s="110"/>
      <c r="Y27" s="110"/>
      <c r="Z27" s="110"/>
      <c r="AA27" s="110"/>
      <c r="AB27" s="110"/>
      <c r="AC27" s="112"/>
      <c r="AD27" s="112"/>
      <c r="AE27" s="110"/>
      <c r="AF27" s="110"/>
      <c r="AG27" s="110"/>
      <c r="AH27" s="110"/>
      <c r="AI27" s="110"/>
      <c r="AJ27" s="110"/>
      <c r="AK27" s="110"/>
      <c r="AL27" s="110"/>
      <c r="AM27" s="110"/>
      <c r="AN27" s="110"/>
      <c r="AO27" s="110"/>
      <c r="AP27" s="110"/>
      <c r="AQ27" s="113"/>
      <c r="AR27" s="113"/>
      <c r="AS27" s="113"/>
      <c r="AT27" s="110"/>
      <c r="AU27" s="110"/>
      <c r="AV27" s="110"/>
      <c r="AW27" s="110"/>
      <c r="AX27" s="110"/>
      <c r="AY27" s="110"/>
      <c r="AZ27" s="110"/>
    </row>
    <row r="28" spans="4:83" ht="18" x14ac:dyDescent="0.2">
      <c r="D28" s="356" t="s">
        <v>440</v>
      </c>
      <c r="E28" s="356"/>
      <c r="F28" s="356"/>
      <c r="G28" s="356"/>
      <c r="H28" s="356"/>
      <c r="I28" s="356"/>
      <c r="J28" s="356"/>
      <c r="K28" s="356"/>
      <c r="L28" s="356"/>
      <c r="M28" s="356"/>
      <c r="N28" s="356"/>
      <c r="O28" s="179"/>
      <c r="P28" s="179"/>
      <c r="Q28" s="179"/>
      <c r="R28" s="352" t="s">
        <v>389</v>
      </c>
      <c r="S28" s="353"/>
      <c r="T28" s="353"/>
      <c r="U28" s="354"/>
      <c r="V28" s="110"/>
      <c r="W28" s="110"/>
      <c r="X28" s="110"/>
      <c r="Y28" s="110"/>
      <c r="Z28" s="110"/>
      <c r="AA28" s="110"/>
      <c r="AB28" s="113"/>
      <c r="AC28" s="112"/>
      <c r="AD28" s="112"/>
      <c r="AE28" s="110"/>
      <c r="AF28" s="112"/>
      <c r="AG28" s="112"/>
      <c r="AH28" s="110"/>
      <c r="AI28" s="110"/>
      <c r="AJ28" s="110"/>
      <c r="AK28" s="110"/>
      <c r="AL28" s="110"/>
      <c r="AM28" s="110"/>
      <c r="AN28" s="110"/>
      <c r="AO28" s="110"/>
      <c r="AP28" s="110"/>
      <c r="AQ28" s="110"/>
      <c r="AR28" s="110"/>
      <c r="AS28" s="110"/>
      <c r="AT28" s="110"/>
      <c r="AU28" s="110"/>
      <c r="AV28" s="110"/>
      <c r="AW28" s="110"/>
      <c r="AX28" s="110"/>
      <c r="AY28" s="110"/>
      <c r="AZ28" s="110"/>
    </row>
    <row r="29" spans="4:83" ht="15" thickBot="1" x14ac:dyDescent="0.25">
      <c r="D29" s="179"/>
      <c r="E29" s="179"/>
      <c r="F29" s="179"/>
      <c r="G29" s="179"/>
      <c r="H29" s="179"/>
      <c r="I29" s="179"/>
      <c r="J29" s="179"/>
      <c r="K29" s="179"/>
      <c r="L29" s="179"/>
      <c r="M29" s="179"/>
      <c r="O29" s="179"/>
      <c r="P29" s="179"/>
      <c r="Q29" s="179"/>
      <c r="S29" s="181" t="str">
        <f>+IFERROR(VLOOKUP(O29,$O$184:$S$188,3,FALSE)*VLOOKUP(R29,$R$184:$S$188,3,FALSE),"")</f>
        <v/>
      </c>
      <c r="AC29" s="181"/>
      <c r="AD29" s="209"/>
      <c r="AF29" s="209"/>
      <c r="AG29" s="209"/>
      <c r="AH29" s="210"/>
      <c r="AI29" s="210"/>
      <c r="AJ29" s="210"/>
      <c r="AK29" s="210"/>
      <c r="AL29" s="210"/>
      <c r="AM29" s="114"/>
      <c r="AN29" s="114"/>
      <c r="AO29" s="210"/>
      <c r="AP29" s="211"/>
      <c r="AU29" s="210"/>
      <c r="AW29" s="210"/>
      <c r="AY29" s="210"/>
    </row>
    <row r="30" spans="4:83" ht="17.45" customHeight="1" thickTop="1" thickBot="1" x14ac:dyDescent="0.25">
      <c r="D30" s="351" t="s">
        <v>207</v>
      </c>
      <c r="E30" s="351"/>
      <c r="F30" s="351"/>
      <c r="G30" s="351"/>
      <c r="H30" s="351"/>
      <c r="I30" s="351"/>
      <c r="J30" s="351"/>
      <c r="K30" s="351"/>
      <c r="L30" s="351"/>
      <c r="M30" s="351"/>
      <c r="N30" s="178" t="s">
        <v>208</v>
      </c>
      <c r="O30" s="351" t="s">
        <v>209</v>
      </c>
      <c r="P30" s="351"/>
      <c r="Q30" s="351"/>
      <c r="R30" s="351"/>
      <c r="S30" s="351"/>
      <c r="T30" s="351"/>
      <c r="U30" s="351"/>
      <c r="V30" s="118"/>
      <c r="W30" s="355" t="s">
        <v>210</v>
      </c>
      <c r="X30" s="355"/>
      <c r="Y30" s="355"/>
      <c r="Z30" s="351" t="s">
        <v>211</v>
      </c>
      <c r="AA30" s="351"/>
      <c r="AB30" s="351"/>
      <c r="AC30" s="351"/>
      <c r="AD30" s="355">
        <v>1</v>
      </c>
      <c r="AE30" s="355"/>
      <c r="AF30" s="355"/>
      <c r="AG30" s="355"/>
      <c r="AH30" s="117"/>
      <c r="AI30" s="117"/>
      <c r="AJ30" s="117"/>
      <c r="AK30" s="117"/>
      <c r="AL30" s="117"/>
      <c r="AM30" s="117"/>
      <c r="AN30" s="117"/>
      <c r="AO30" s="117"/>
      <c r="AP30" s="117"/>
      <c r="AQ30" s="117"/>
      <c r="AR30" s="117"/>
      <c r="AS30" s="117"/>
      <c r="AT30" s="117"/>
      <c r="AU30" s="117"/>
      <c r="AV30" s="117"/>
      <c r="AW30" s="117"/>
      <c r="AX30" s="117"/>
      <c r="AY30" s="117"/>
      <c r="AZ30" s="115"/>
    </row>
    <row r="31" spans="4:83" ht="36.75" customHeight="1" thickTop="1" x14ac:dyDescent="0.25">
      <c r="D31" s="299" t="s">
        <v>392</v>
      </c>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row>
  </sheetData>
  <dataConsolidate/>
  <mergeCells count="77">
    <mergeCell ref="G13:G14"/>
    <mergeCell ref="F13:F14"/>
    <mergeCell ref="AR12:BE12"/>
    <mergeCell ref="D2:H5"/>
    <mergeCell ref="K2:BC5"/>
    <mergeCell ref="H7:BE7"/>
    <mergeCell ref="AQ13:AQ14"/>
    <mergeCell ref="AP13:AP14"/>
    <mergeCell ref="AO13:AO14"/>
    <mergeCell ref="AK13:AK14"/>
    <mergeCell ref="AB13:AB14"/>
    <mergeCell ref="O13:O14"/>
    <mergeCell ref="D12:R12"/>
    <mergeCell ref="S12:Y12"/>
    <mergeCell ref="N13:N14"/>
    <mergeCell ref="M13:M14"/>
    <mergeCell ref="K13:K14"/>
    <mergeCell ref="U13:U14"/>
    <mergeCell ref="V13:V14"/>
    <mergeCell ref="D7:G7"/>
    <mergeCell ref="Y13:Y14"/>
    <mergeCell ref="AX13:AX14"/>
    <mergeCell ref="AW13:AW14"/>
    <mergeCell ref="AV13:AV14"/>
    <mergeCell ref="AU13:AU14"/>
    <mergeCell ref="AT13:AT14"/>
    <mergeCell ref="AN13:AN14"/>
    <mergeCell ref="AL13:AL14"/>
    <mergeCell ref="AM13:AM14"/>
    <mergeCell ref="R13:R14"/>
    <mergeCell ref="S13:S14"/>
    <mergeCell ref="T13:T14"/>
    <mergeCell ref="W13:W14"/>
    <mergeCell ref="AK12:AQ12"/>
    <mergeCell ref="AD13:AI13"/>
    <mergeCell ref="BD2:BE2"/>
    <mergeCell ref="BD3:BE3"/>
    <mergeCell ref="BD4:BE4"/>
    <mergeCell ref="BD5:BE5"/>
    <mergeCell ref="BB13:BB14"/>
    <mergeCell ref="BD13:BD14"/>
    <mergeCell ref="BE13:BE14"/>
    <mergeCell ref="AY13:AY14"/>
    <mergeCell ref="AZ13:AZ14"/>
    <mergeCell ref="AS13:AS14"/>
    <mergeCell ref="BA13:BA14"/>
    <mergeCell ref="AJ12:AJ14"/>
    <mergeCell ref="A11:C11"/>
    <mergeCell ref="D8:G8"/>
    <mergeCell ref="D9:G9"/>
    <mergeCell ref="H9:BE9"/>
    <mergeCell ref="H8:BE8"/>
    <mergeCell ref="D13:D14"/>
    <mergeCell ref="D11:AX11"/>
    <mergeCell ref="AY11:BB11"/>
    <mergeCell ref="BC11:BE11"/>
    <mergeCell ref="BC13:BC14"/>
    <mergeCell ref="E13:E14"/>
    <mergeCell ref="AC13:AC14"/>
    <mergeCell ref="H13:H14"/>
    <mergeCell ref="X13:X14"/>
    <mergeCell ref="Z12:AI12"/>
    <mergeCell ref="D21:D22"/>
    <mergeCell ref="I13:J13"/>
    <mergeCell ref="D31:AG31"/>
    <mergeCell ref="P13:Q13"/>
    <mergeCell ref="D30:M30"/>
    <mergeCell ref="R28:U28"/>
    <mergeCell ref="O30:U30"/>
    <mergeCell ref="W30:Y30"/>
    <mergeCell ref="D28:N28"/>
    <mergeCell ref="Z30:AC30"/>
    <mergeCell ref="AD30:AG30"/>
    <mergeCell ref="Z13:Z14"/>
    <mergeCell ref="AA13:AA14"/>
    <mergeCell ref="K25:AX25"/>
    <mergeCell ref="L13:L14"/>
  </mergeCells>
  <conditionalFormatting sqref="AL15:AL24 S15:S24">
    <cfRule type="cellIs" dxfId="25" priority="62" operator="equal">
      <formula>"Muy Alta"</formula>
    </cfRule>
    <cfRule type="cellIs" dxfId="24" priority="63" operator="equal">
      <formula>"Alta"</formula>
    </cfRule>
    <cfRule type="cellIs" dxfId="23" priority="64" operator="equal">
      <formula>"Media"</formula>
    </cfRule>
    <cfRule type="cellIs" dxfId="22" priority="65" operator="equal">
      <formula>"Baja"</formula>
    </cfRule>
    <cfRule type="cellIs" dxfId="21" priority="66" operator="equal">
      <formula>"Muy Baja"</formula>
    </cfRule>
  </conditionalFormatting>
  <conditionalFormatting sqref="V15:V24">
    <cfRule type="containsText" dxfId="20" priority="38" operator="containsText" text="❌">
      <formula>NOT(ISERROR(SEARCH("❌",V15)))</formula>
    </cfRule>
  </conditionalFormatting>
  <conditionalFormatting sqref="W15:W24">
    <cfRule type="cellIs" dxfId="19" priority="1" operator="equal">
      <formula>"Catastrófico"</formula>
    </cfRule>
    <cfRule type="cellIs" dxfId="18" priority="2" operator="equal">
      <formula>"Mayor"</formula>
    </cfRule>
    <cfRule type="cellIs" dxfId="17" priority="3" operator="equal">
      <formula>"Moderado"</formula>
    </cfRule>
    <cfRule type="cellIs" dxfId="16" priority="4" operator="equal">
      <formula>"Menor"</formula>
    </cfRule>
    <cfRule type="cellIs" dxfId="15" priority="5" operator="equal">
      <formula>"Leve"</formula>
    </cfRule>
  </conditionalFormatting>
  <conditionalFormatting sqref="AP15:AP24 Y15:Y24">
    <cfRule type="cellIs" dxfId="14" priority="53" operator="equal">
      <formula>"Extremo"</formula>
    </cfRule>
    <cfRule type="cellIs" dxfId="13" priority="54" operator="equal">
      <formula>"Alto"</formula>
    </cfRule>
    <cfRule type="cellIs" dxfId="12" priority="55" operator="equal">
      <formula>"Moderado"</formula>
    </cfRule>
    <cfRule type="cellIs" dxfId="11" priority="56" operator="equal">
      <formula>"Bajo"</formula>
    </cfRule>
  </conditionalFormatting>
  <conditionalFormatting sqref="AM27:AM29">
    <cfRule type="cellIs" dxfId="10" priority="26" stopIfTrue="1" operator="equal">
      <formula>#REF!</formula>
    </cfRule>
    <cfRule type="cellIs" dxfId="9" priority="27" operator="equal">
      <formula>#REF!</formula>
    </cfRule>
    <cfRule type="cellIs" dxfId="8" priority="28" operator="equal">
      <formula>#REF!</formula>
    </cfRule>
  </conditionalFormatting>
  <conditionalFormatting sqref="AN15:AN24">
    <cfRule type="cellIs" dxfId="7" priority="43" operator="equal">
      <formula>"Catastrófico"</formula>
    </cfRule>
    <cfRule type="cellIs" dxfId="6" priority="44" operator="equal">
      <formula>"Mayor"</formula>
    </cfRule>
    <cfRule type="cellIs" dxfId="5" priority="45" operator="equal">
      <formula>"Moderado"</formula>
    </cfRule>
    <cfRule type="cellIs" dxfId="4" priority="46" operator="equal">
      <formula>"Menor"</formula>
    </cfRule>
    <cfRule type="cellIs" dxfId="3" priority="47" operator="equal">
      <formula>"Leve"</formula>
    </cfRule>
  </conditionalFormatting>
  <conditionalFormatting sqref="AN27:AN29">
    <cfRule type="cellIs" dxfId="2" priority="29" stopIfTrue="1" operator="equal">
      <formula>#REF!</formula>
    </cfRule>
    <cfRule type="cellIs" dxfId="1" priority="30" stopIfTrue="1" operator="equal">
      <formula>#REF!</formula>
    </cfRule>
    <cfRule type="cellIs" dxfId="0" priority="31" stopIfTrue="1" operator="equal">
      <formula>#REF!</formula>
    </cfRule>
  </conditionalFormatting>
  <dataValidations count="6">
    <dataValidation type="list" allowBlank="1" showInputMessage="1" showErrorMessage="1" sqref="N27" xr:uid="{61DF7E04-DE5E-4FE1-A38F-8A138AA87D58}">
      <formula1>$N$184:$N$193</formula1>
    </dataValidation>
    <dataValidation type="list" allowBlank="1" showInputMessage="1" showErrorMessage="1" sqref="N29 AM29:AN29" xr:uid="{66A41BD7-B090-4403-937D-0435537D31DA}">
      <formula1>#REF!</formula1>
    </dataValidation>
    <dataValidation type="list" allowBlank="1" showInputMessage="1" showErrorMessage="1" sqref="AC29" xr:uid="{3BD557FD-BAB0-4660-A45C-D7AACD9880D7}">
      <formula1>$U$184:$U$185</formula1>
    </dataValidation>
    <dataValidation type="list" allowBlank="1" showInputMessage="1" showErrorMessage="1" sqref="R29" xr:uid="{6EC8CB42-9310-43CD-8FAB-388F6EFE7B5E}">
      <formula1>$R$184:$R$188</formula1>
    </dataValidation>
    <dataValidation type="list" allowBlank="1" showInputMessage="1" showErrorMessage="1" sqref="O29:Q29" xr:uid="{681E5490-2B09-494D-9B90-359A2E8F22F3}">
      <formula1>$O$184:$O$188</formula1>
    </dataValidation>
    <dataValidation type="list" allowBlank="1" showInputMessage="1" showErrorMessage="1" sqref="AY29 AF29:AL29 AD29 AU29 AW29" xr:uid="{208EF431-1729-4D5C-B151-F6757CBBD462}">
      <formula1>$AU$184:$AU$191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5E056D49-2A01-4844-9657-EAFD8E3B5A80}">
          <x14:formula1>
            <xm:f>'Opciones Tratamiento'!$B$13:$B$19</xm:f>
          </x14:formula1>
          <xm:sqref>O15:O24</xm:sqref>
        </x14:dataValidation>
        <x14:dataValidation type="list" allowBlank="1" showInputMessage="1" showErrorMessage="1" xr:uid="{EF0C0067-1765-4F11-A967-1A801D325D81}">
          <x14:formula1>
            <xm:f>'Tabla Impacto'!$F$210:$F$221</xm:f>
          </x14:formula1>
          <xm:sqref>U15:U24</xm:sqref>
        </x14:dataValidation>
        <x14:dataValidation type="custom" allowBlank="1" showInputMessage="1" showErrorMessage="1" error="Recuerde que las acciones se generan bajo la medida de mitigar el riesgo" xr:uid="{7ED48018-4235-4B97-8418-73E7BBDB0232}">
          <x14:formula1>
            <xm:f>IF(OR(AQ19='Opciones Tratamiento'!$B$2,AQ19='Opciones Tratamiento'!$B$3,AQ19='Opciones Tratamiento'!$B$4),ISBLANK(AQ19),ISTEXT(AQ19))</xm:f>
          </x14:formula1>
          <xm:sqref>AS19:AS24</xm:sqref>
        </x14:dataValidation>
        <x14:dataValidation type="custom" allowBlank="1" showInputMessage="1" showErrorMessage="1" error="Recuerde que las acciones se generan bajo la medida de mitigar el riesgo" xr:uid="{B9F9F086-C384-4D55-BBDC-46D063DF530B}">
          <x14:formula1>
            <xm:f>IF(OR(AQ19='Opciones Tratamiento'!$B$2,AQ19='Opciones Tratamiento'!$B$3,AQ19='Opciones Tratamiento'!$B$4),ISBLANK(AQ19),ISTEXT(AQ19))</xm:f>
          </x14:formula1>
          <xm:sqref>AT19:AT24</xm:sqref>
        </x14:dataValidation>
        <x14:dataValidation type="custom" allowBlank="1" showInputMessage="1" showErrorMessage="1" error="Recuerde que las acciones se generan bajo la medida de mitigar el riesgo" xr:uid="{E3EDE35C-AB25-4047-9423-56EED39EADE9}">
          <x14:formula1>
            <xm:f>IF(OR(AQ15='Opciones Tratamiento'!$B$2,AQ15='Opciones Tratamiento'!$B$3,AQ15='Opciones Tratamiento'!$B$4),ISBLANK(AQ15),ISTEXT(AQ15))</xm:f>
          </x14:formula1>
          <xm:sqref>AY15:AY24 AU15:AU24</xm:sqref>
        </x14:dataValidation>
        <x14:dataValidation type="list" allowBlank="1" showInputMessage="1" showErrorMessage="1" xr:uid="{9E41A0A5-9033-48F4-A523-E78EEE31291B}">
          <x14:formula1>
            <xm:f>Listas!$B$2:$B$7</xm:f>
          </x14:formula1>
          <xm:sqref>H15:J15 I18:J24 H16:H24</xm:sqref>
        </x14:dataValidation>
        <x14:dataValidation type="list" allowBlank="1" showInputMessage="1" showErrorMessage="1" xr:uid="{E1211B7A-6A4E-4A48-9C6D-50DFE53A34CF}">
          <x14:formula1>
            <xm:f>Listas!$C$2:$C$6</xm:f>
          </x14:formula1>
          <xm:sqref>P19:P24</xm:sqref>
        </x14:dataValidation>
        <x14:dataValidation type="list" allowBlank="1" showInputMessage="1" showErrorMessage="1" xr:uid="{B88BA28A-2600-4BF8-8D1C-1591DFA3694A}">
          <x14:formula1>
            <xm:f>Listas!$D$2:$D$5</xm:f>
          </x14:formula1>
          <xm:sqref>Q15:Q24</xm:sqref>
        </x14:dataValidation>
        <x14:dataValidation type="list" allowBlank="1" showInputMessage="1" showErrorMessage="1" xr:uid="{C1C18457-6497-4468-A0EC-5756D2A505AB}">
          <x14:formula1>
            <xm:f>Hoja2!$B$3:$B$18</xm:f>
          </x14:formula1>
          <xm:sqref>E15:E24</xm:sqref>
        </x14:dataValidation>
        <x14:dataValidation type="list" allowBlank="1" showInputMessage="1" showErrorMessage="1" xr:uid="{30B1B799-4F7E-4DF0-8163-3420DCED9D9B}">
          <x14:formula1>
            <xm:f>Hoja2!$D$3:$D$21</xm:f>
          </x14:formula1>
          <xm:sqref>F15:F24</xm:sqref>
        </x14:dataValidation>
        <x14:dataValidation type="list" allowBlank="1" showInputMessage="1" showErrorMessage="1" xr:uid="{4543C4BE-F1CB-4CCC-8B32-CEE48E0F43C3}">
          <x14:formula1>
            <xm:f>Hoja2!$E$3:$E$23</xm:f>
          </x14:formula1>
          <xm:sqref>G15:G24</xm:sqref>
        </x14:dataValidation>
        <x14:dataValidation type="list" allowBlank="1" showInputMessage="1" showErrorMessage="1" xr:uid="{FFA9F3EB-8AAC-4371-8BA9-EA5BFF31F870}">
          <x14:formula1>
            <xm:f>'Opciones Tratamiento'!$B$9:$B$10</xm:f>
          </x14:formula1>
          <xm:sqref>BA15:BB24 BE15:BE24 AX15:AX24</xm:sqref>
        </x14:dataValidation>
        <x14:dataValidation type="list" allowBlank="1" showInputMessage="1" showErrorMessage="1" xr:uid="{2F8B922F-A596-4F43-8DB5-EB88E0211184}">
          <x14:formula1>
            <xm:f>'Tabla Valoración controles'!$D$4:$D$6</xm:f>
          </x14:formula1>
          <xm:sqref>AD15:AD24</xm:sqref>
        </x14:dataValidation>
        <x14:dataValidation type="list" allowBlank="1" showInputMessage="1" showErrorMessage="1" xr:uid="{DC38EDB2-F7BD-4E7B-9DDA-3C58EAD78CC5}">
          <x14:formula1>
            <xm:f>'Tabla Valoración controles'!$D$7:$D$8</xm:f>
          </x14:formula1>
          <xm:sqref>AE15:AE24</xm:sqref>
        </x14:dataValidation>
        <x14:dataValidation type="list" allowBlank="1" showInputMessage="1" showErrorMessage="1" xr:uid="{D75AC793-23AB-4ECB-AA93-972ACC7C18B9}">
          <x14:formula1>
            <xm:f>'Tabla Valoración controles'!$D$9:$D$10</xm:f>
          </x14:formula1>
          <xm:sqref>AG15:AG24</xm:sqref>
        </x14:dataValidation>
        <x14:dataValidation type="list" allowBlank="1" showInputMessage="1" showErrorMessage="1" xr:uid="{7CEE6D34-E894-4B07-9738-58E7887FE090}">
          <x14:formula1>
            <xm:f>'Tabla Valoración controles'!$D$11:$D$12</xm:f>
          </x14:formula1>
          <xm:sqref>AH15:AH24</xm:sqref>
        </x14:dataValidation>
        <x14:dataValidation type="list" allowBlank="1" showInputMessage="1" showErrorMessage="1" xr:uid="{B39FB738-8E70-4C89-BE00-31B6F6BC10CA}">
          <x14:formula1>
            <xm:f>'Tabla Valoración controles'!$D$13:$D$14</xm:f>
          </x14:formula1>
          <xm:sqref>AI15:AI24</xm:sqref>
        </x14:dataValidation>
        <x14:dataValidation type="list" allowBlank="1" showInputMessage="1" showErrorMessage="1" xr:uid="{BCC5CE02-71F3-4D30-B2B6-0BC8D084AB56}">
          <x14:formula1>
            <xm:f>'Opciones Tratamiento'!$B$2:$B$5</xm:f>
          </x14:formula1>
          <xm:sqref>AQ15:AQ24</xm:sqref>
        </x14:dataValidation>
        <x14:dataValidation type="custom" allowBlank="1" showInputMessage="1" showErrorMessage="1" error="Recuerde que las acciones se generan bajo la medida de mitigar el riesgo" xr:uid="{5067E0A1-85BC-4774-9D87-F4D5111F4D71}">
          <x14:formula1>
            <xm:f>IF(OR(AQ15='Opciones Tratamiento'!$B$2,AQ15='Opciones Tratamiento'!$B$3,AQ15='Opciones Tratamiento'!$B$4),ISBLANK(AQ15),ISTEXT(AQ15))</xm:f>
          </x14:formula1>
          <xm:sqref>AZ15:AZ24 BC15:BC24 AV15:AV24</xm:sqref>
        </x14:dataValidation>
        <x14:dataValidation type="custom" allowBlank="1" showInputMessage="1" showErrorMessage="1" error="Recuerde que las acciones se generan bajo la medida de mitigar el riesgo" xr:uid="{B9883EC3-2B93-49BB-8FD9-A1B582EB3BDF}">
          <x14:formula1>
            <xm:f>IF(OR(AQ15='Opciones Tratamiento'!$B$2,AQ15='Opciones Tratamiento'!$B$3,AQ15='Opciones Tratamiento'!$B$4),ISBLANK(AQ15),ISTEXT(AQ15))</xm:f>
          </x14:formula1>
          <xm:sqref>BD15:BD24 AW15:AW24</xm:sqref>
        </x14:dataValidation>
        <x14:dataValidation type="list" allowBlank="1" showInputMessage="1" showErrorMessage="1" xr:uid="{910695D6-E68C-4416-AE2F-7A2A65D2B33E}">
          <x14:formula1>
            <xm:f>Hoja2!$I$3:$I$20</xm:f>
          </x14:formula1>
          <xm:sqref>P15:P18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6"/>
  <sheetViews>
    <sheetView workbookViewId="0">
      <selection activeCell="I22" sqref="I22"/>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59" t="s">
        <v>137</v>
      </c>
      <c r="C1" s="359"/>
      <c r="D1" s="359"/>
      <c r="E1" s="359"/>
      <c r="F1" s="359"/>
      <c r="G1" s="359"/>
      <c r="H1" s="359"/>
      <c r="I1" s="359"/>
      <c r="J1" s="359"/>
      <c r="L1" s="359" t="s">
        <v>139</v>
      </c>
      <c r="M1" s="359"/>
      <c r="N1" s="359"/>
      <c r="O1" s="359"/>
      <c r="P1" s="359"/>
      <c r="Q1" s="359"/>
      <c r="R1" s="359"/>
    </row>
    <row r="2" spans="2:18" ht="50.25" customHeight="1" x14ac:dyDescent="0.25">
      <c r="B2" s="175" t="s">
        <v>376</v>
      </c>
      <c r="C2" s="175" t="s">
        <v>380</v>
      </c>
      <c r="D2" s="174" t="s">
        <v>2</v>
      </c>
      <c r="E2" s="174" t="s">
        <v>316</v>
      </c>
      <c r="F2" s="174" t="s">
        <v>365</v>
      </c>
      <c r="G2" s="175" t="s">
        <v>366</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381</v>
      </c>
      <c r="D3" s="116" t="s">
        <v>131</v>
      </c>
      <c r="E3" s="116" t="s">
        <v>313</v>
      </c>
      <c r="F3" t="s">
        <v>225</v>
      </c>
      <c r="G3" s="116" t="s">
        <v>128</v>
      </c>
      <c r="I3" t="s">
        <v>367</v>
      </c>
      <c r="J3" t="s">
        <v>236</v>
      </c>
      <c r="L3" s="2" t="s">
        <v>14</v>
      </c>
      <c r="M3" s="2" t="s">
        <v>10</v>
      </c>
      <c r="N3" s="2" t="s">
        <v>19</v>
      </c>
      <c r="O3" s="2" t="s">
        <v>22</v>
      </c>
      <c r="P3" s="2" t="s">
        <v>25</v>
      </c>
      <c r="Q3" s="2" t="s">
        <v>31</v>
      </c>
      <c r="R3" t="s">
        <v>39</v>
      </c>
    </row>
    <row r="4" spans="2:18" ht="31.5" customHeight="1" x14ac:dyDescent="0.25">
      <c r="B4" s="18" t="s">
        <v>216</v>
      </c>
      <c r="C4" s="18" t="s">
        <v>382</v>
      </c>
      <c r="D4" s="116" t="s">
        <v>130</v>
      </c>
      <c r="E4" s="116" t="s">
        <v>314</v>
      </c>
      <c r="F4" t="s">
        <v>218</v>
      </c>
      <c r="G4" s="116" t="s">
        <v>122</v>
      </c>
      <c r="I4" t="s">
        <v>368</v>
      </c>
      <c r="J4" t="s">
        <v>237</v>
      </c>
      <c r="L4" s="2" t="s">
        <v>15</v>
      </c>
      <c r="M4" s="2" t="s">
        <v>9</v>
      </c>
      <c r="N4" s="2" t="s">
        <v>20</v>
      </c>
      <c r="O4" s="2" t="s">
        <v>23</v>
      </c>
      <c r="P4" s="2" t="s">
        <v>26</v>
      </c>
      <c r="Q4" s="2" t="s">
        <v>32</v>
      </c>
      <c r="R4" t="s">
        <v>40</v>
      </c>
    </row>
    <row r="5" spans="2:18" ht="51.75" customHeight="1" x14ac:dyDescent="0.25">
      <c r="B5" s="18" t="s">
        <v>217</v>
      </c>
      <c r="C5" s="18" t="s">
        <v>383</v>
      </c>
      <c r="D5" s="116" t="s">
        <v>132</v>
      </c>
      <c r="E5" s="116" t="s">
        <v>315</v>
      </c>
      <c r="F5" t="s">
        <v>226</v>
      </c>
      <c r="G5" s="116" t="s">
        <v>125</v>
      </c>
      <c r="I5" t="s">
        <v>231</v>
      </c>
      <c r="J5" t="s">
        <v>238</v>
      </c>
      <c r="L5" s="2" t="s">
        <v>16</v>
      </c>
      <c r="P5" s="2" t="s">
        <v>27</v>
      </c>
      <c r="Q5" s="2" t="s">
        <v>30</v>
      </c>
    </row>
    <row r="6" spans="2:18" ht="24.75" customHeight="1" x14ac:dyDescent="0.25">
      <c r="B6" s="18" t="s">
        <v>218</v>
      </c>
      <c r="C6" s="18" t="s">
        <v>384</v>
      </c>
      <c r="D6" s="116" t="s">
        <v>312</v>
      </c>
      <c r="E6" t="s">
        <v>372</v>
      </c>
      <c r="F6" t="s">
        <v>227</v>
      </c>
      <c r="G6" s="116" t="s">
        <v>123</v>
      </c>
      <c r="I6" t="s">
        <v>233</v>
      </c>
      <c r="J6" t="s">
        <v>413</v>
      </c>
      <c r="Q6" s="2" t="s">
        <v>134</v>
      </c>
    </row>
    <row r="7" spans="2:18" ht="26.25" customHeight="1" x14ac:dyDescent="0.25">
      <c r="B7" s="18" t="s">
        <v>222</v>
      </c>
      <c r="C7" s="18" t="s">
        <v>385</v>
      </c>
      <c r="D7" s="116" t="s">
        <v>393</v>
      </c>
      <c r="F7" t="s">
        <v>228</v>
      </c>
      <c r="G7" s="116" t="s">
        <v>124</v>
      </c>
      <c r="I7" t="s">
        <v>369</v>
      </c>
      <c r="Q7" s="2" t="s">
        <v>135</v>
      </c>
    </row>
    <row r="8" spans="2:18" ht="30" x14ac:dyDescent="0.25">
      <c r="B8" s="18" t="s">
        <v>310</v>
      </c>
      <c r="C8" s="18"/>
      <c r="D8" s="116"/>
      <c r="F8" t="s">
        <v>229</v>
      </c>
      <c r="G8" s="116" t="s">
        <v>126</v>
      </c>
      <c r="I8" s="116" t="s">
        <v>370</v>
      </c>
    </row>
    <row r="9" spans="2:18" ht="31.5" customHeight="1" x14ac:dyDescent="0.25">
      <c r="B9" s="18" t="s">
        <v>379</v>
      </c>
      <c r="C9" s="18"/>
      <c r="D9" s="116"/>
      <c r="G9" s="116" t="s">
        <v>127</v>
      </c>
      <c r="I9" t="s">
        <v>371</v>
      </c>
    </row>
    <row r="10" spans="2:18" x14ac:dyDescent="0.25">
      <c r="B10" s="18" t="s">
        <v>220</v>
      </c>
      <c r="C10" s="18"/>
      <c r="D10" s="116"/>
      <c r="I10" t="s">
        <v>372</v>
      </c>
    </row>
    <row r="11" spans="2:18" x14ac:dyDescent="0.25">
      <c r="B11" s="18" t="s">
        <v>377</v>
      </c>
      <c r="C11" s="18"/>
      <c r="D11" s="116"/>
      <c r="I11" t="s">
        <v>234</v>
      </c>
    </row>
    <row r="12" spans="2:18" x14ac:dyDescent="0.25">
      <c r="B12" s="18" t="s">
        <v>378</v>
      </c>
      <c r="C12" s="18"/>
      <c r="I12" t="s">
        <v>372</v>
      </c>
    </row>
    <row r="13" spans="2:18" x14ac:dyDescent="0.25">
      <c r="B13" s="18" t="s">
        <v>223</v>
      </c>
      <c r="C13" s="18"/>
      <c r="I13" t="s">
        <v>398</v>
      </c>
    </row>
    <row r="14" spans="2:18" x14ac:dyDescent="0.25">
      <c r="I14" t="s">
        <v>399</v>
      </c>
    </row>
    <row r="15" spans="2:18" x14ac:dyDescent="0.25">
      <c r="I15" t="s">
        <v>400</v>
      </c>
    </row>
    <row r="16" spans="2:18" x14ac:dyDescent="0.25">
      <c r="I16" t="s">
        <v>413</v>
      </c>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373</v>
      </c>
    </row>
    <row r="30" spans="2:2" x14ac:dyDescent="0.25">
      <c r="B30" t="s">
        <v>374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60" t="s">
        <v>317</v>
      </c>
      <c r="D2" s="361"/>
    </row>
    <row r="3" spans="3:4" x14ac:dyDescent="0.25">
      <c r="C3" s="362"/>
      <c r="D3" s="363"/>
    </row>
    <row r="4" spans="3:4" ht="15.75" thickBot="1" x14ac:dyDescent="0.3">
      <c r="C4" s="158" t="s">
        <v>318</v>
      </c>
      <c r="D4" s="159" t="s">
        <v>319</v>
      </c>
    </row>
    <row r="5" spans="3:4" ht="30" customHeight="1" x14ac:dyDescent="0.25">
      <c r="C5" s="160" t="s">
        <v>320</v>
      </c>
      <c r="D5" s="161">
        <v>1</v>
      </c>
    </row>
    <row r="6" spans="3:4" ht="28.5" customHeight="1" x14ac:dyDescent="0.25">
      <c r="C6" s="162" t="s">
        <v>321</v>
      </c>
      <c r="D6" s="163">
        <v>1</v>
      </c>
    </row>
    <row r="7" spans="3:4" ht="28.5" customHeight="1" x14ac:dyDescent="0.25">
      <c r="C7" s="164" t="s">
        <v>322</v>
      </c>
      <c r="D7" s="163">
        <v>1</v>
      </c>
    </row>
    <row r="8" spans="3:4" ht="28.5" customHeight="1" x14ac:dyDescent="0.25">
      <c r="C8" s="164" t="s">
        <v>323</v>
      </c>
      <c r="D8" s="163">
        <v>1</v>
      </c>
    </row>
    <row r="9" spans="3:4" ht="18.600000000000001" customHeight="1" x14ac:dyDescent="0.25">
      <c r="C9" s="164" t="s">
        <v>324</v>
      </c>
      <c r="D9" s="163">
        <v>1</v>
      </c>
    </row>
    <row r="10" spans="3:4" ht="28.5" customHeight="1" x14ac:dyDescent="0.25">
      <c r="C10" s="164" t="s">
        <v>325</v>
      </c>
      <c r="D10" s="163">
        <v>1</v>
      </c>
    </row>
    <row r="11" spans="3:4" ht="21" customHeight="1" x14ac:dyDescent="0.25">
      <c r="C11" s="162" t="s">
        <v>326</v>
      </c>
      <c r="D11" s="163">
        <v>1</v>
      </c>
    </row>
    <row r="12" spans="3:4" ht="21" customHeight="1" x14ac:dyDescent="0.25">
      <c r="C12" s="162" t="s">
        <v>327</v>
      </c>
      <c r="D12" s="163">
        <v>1</v>
      </c>
    </row>
    <row r="13" spans="3:4" ht="21.6" customHeight="1" x14ac:dyDescent="0.25">
      <c r="C13" s="162" t="s">
        <v>328</v>
      </c>
      <c r="D13" s="163">
        <v>1</v>
      </c>
    </row>
    <row r="14" spans="3:4" ht="28.5" customHeight="1" x14ac:dyDescent="0.25">
      <c r="C14" s="162" t="s">
        <v>329</v>
      </c>
      <c r="D14" s="163">
        <v>1</v>
      </c>
    </row>
    <row r="15" spans="3:4" ht="22.5" customHeight="1" x14ac:dyDescent="0.25">
      <c r="C15" s="165"/>
      <c r="D15" s="163">
        <v>1</v>
      </c>
    </row>
    <row r="16" spans="3:4" ht="28.5" customHeight="1" x14ac:dyDescent="0.25">
      <c r="C16" s="166" t="s">
        <v>330</v>
      </c>
      <c r="D16" s="167"/>
    </row>
    <row r="17" spans="3:4" ht="28.5" customHeight="1" x14ac:dyDescent="0.25">
      <c r="C17" s="160" t="s">
        <v>331</v>
      </c>
      <c r="D17" s="163">
        <v>1</v>
      </c>
    </row>
    <row r="18" spans="3:4" ht="28.5" customHeight="1" x14ac:dyDescent="0.25">
      <c r="C18" s="160" t="s">
        <v>332</v>
      </c>
      <c r="D18" s="163">
        <v>1</v>
      </c>
    </row>
    <row r="19" spans="3:4" ht="28.5" customHeight="1" x14ac:dyDescent="0.25">
      <c r="C19" s="160" t="s">
        <v>333</v>
      </c>
      <c r="D19" s="163">
        <v>1</v>
      </c>
    </row>
    <row r="20" spans="3:4" ht="28.5" customHeight="1" x14ac:dyDescent="0.25">
      <c r="C20" s="162" t="s">
        <v>334</v>
      </c>
      <c r="D20" s="163">
        <v>1</v>
      </c>
    </row>
    <row r="21" spans="3:4" ht="28.5" customHeight="1" x14ac:dyDescent="0.25">
      <c r="C21" s="160" t="s">
        <v>335</v>
      </c>
      <c r="D21" s="163">
        <v>1</v>
      </c>
    </row>
    <row r="22" spans="3:4" ht="28.5" customHeight="1" x14ac:dyDescent="0.25">
      <c r="C22" s="168" t="s">
        <v>336</v>
      </c>
      <c r="D22" s="163">
        <v>1</v>
      </c>
    </row>
    <row r="23" spans="3:4" ht="28.5" customHeight="1" x14ac:dyDescent="0.25">
      <c r="C23" s="160" t="s">
        <v>337</v>
      </c>
      <c r="D23" s="163">
        <v>1</v>
      </c>
    </row>
    <row r="24" spans="3:4" ht="28.5" customHeight="1" x14ac:dyDescent="0.25">
      <c r="C24" s="160" t="s">
        <v>338</v>
      </c>
      <c r="D24" s="163">
        <v>1</v>
      </c>
    </row>
    <row r="25" spans="3:4" ht="28.5" customHeight="1" x14ac:dyDescent="0.25">
      <c r="C25" s="165"/>
      <c r="D25" s="163">
        <v>1</v>
      </c>
    </row>
    <row r="26" spans="3:4" ht="28.5" customHeight="1" x14ac:dyDescent="0.25">
      <c r="C26" s="165"/>
      <c r="D26" s="163">
        <v>1</v>
      </c>
    </row>
    <row r="27" spans="3:4" ht="28.5" customHeight="1" x14ac:dyDescent="0.25">
      <c r="C27" s="166" t="s">
        <v>339</v>
      </c>
      <c r="D27" s="169"/>
    </row>
    <row r="28" spans="3:4" ht="28.5" customHeight="1" x14ac:dyDescent="0.25">
      <c r="C28" s="164" t="s">
        <v>340</v>
      </c>
      <c r="D28" s="163">
        <v>1</v>
      </c>
    </row>
    <row r="29" spans="3:4" ht="28.5" customHeight="1" x14ac:dyDescent="0.25">
      <c r="C29" s="164" t="s">
        <v>341</v>
      </c>
      <c r="D29" s="163">
        <v>1</v>
      </c>
    </row>
    <row r="30" spans="3:4" ht="28.5" customHeight="1" x14ac:dyDescent="0.25">
      <c r="C30" s="164" t="s">
        <v>342</v>
      </c>
      <c r="D30" s="163">
        <v>1</v>
      </c>
    </row>
    <row r="31" spans="3:4" ht="28.5" customHeight="1" x14ac:dyDescent="0.25">
      <c r="C31" s="164" t="s">
        <v>343</v>
      </c>
      <c r="D31" s="163">
        <v>1</v>
      </c>
    </row>
    <row r="32" spans="3:4" ht="28.5" customHeight="1" x14ac:dyDescent="0.25">
      <c r="C32" s="164" t="s">
        <v>344</v>
      </c>
      <c r="D32" s="163">
        <v>1</v>
      </c>
    </row>
    <row r="33" spans="3:4" ht="28.5" customHeight="1" x14ac:dyDescent="0.25">
      <c r="C33" s="170" t="s">
        <v>345</v>
      </c>
      <c r="D33" s="163">
        <v>1</v>
      </c>
    </row>
    <row r="34" spans="3:4" ht="28.5" customHeight="1" x14ac:dyDescent="0.25">
      <c r="C34" s="162" t="s">
        <v>346</v>
      </c>
      <c r="D34" s="163">
        <v>1</v>
      </c>
    </row>
    <row r="35" spans="3:4" ht="28.5" customHeight="1" x14ac:dyDescent="0.25">
      <c r="C35" s="164" t="s">
        <v>347</v>
      </c>
      <c r="D35" s="163">
        <v>1</v>
      </c>
    </row>
    <row r="36" spans="3:4" ht="28.5" customHeight="1" x14ac:dyDescent="0.25">
      <c r="C36" s="164" t="s">
        <v>348</v>
      </c>
      <c r="D36" s="163">
        <v>1</v>
      </c>
    </row>
    <row r="37" spans="3:4" ht="28.5" customHeight="1" x14ac:dyDescent="0.25">
      <c r="C37" s="164" t="s">
        <v>349</v>
      </c>
      <c r="D37" s="163">
        <v>1</v>
      </c>
    </row>
    <row r="38" spans="3:4" ht="28.5" customHeight="1" x14ac:dyDescent="0.25">
      <c r="C38" s="162" t="s">
        <v>350</v>
      </c>
      <c r="D38" s="163">
        <v>1</v>
      </c>
    </row>
    <row r="39" spans="3:4" ht="28.5" customHeight="1" x14ac:dyDescent="0.25">
      <c r="C39" s="170" t="s">
        <v>351</v>
      </c>
      <c r="D39" s="163">
        <v>1</v>
      </c>
    </row>
    <row r="40" spans="3:4" ht="28.5" customHeight="1" x14ac:dyDescent="0.25">
      <c r="C40" s="170" t="s">
        <v>352</v>
      </c>
      <c r="D40" s="163">
        <v>1</v>
      </c>
    </row>
    <row r="41" spans="3:4" ht="28.5" customHeight="1" x14ac:dyDescent="0.25">
      <c r="C41" s="170" t="s">
        <v>353</v>
      </c>
      <c r="D41" s="163">
        <v>1</v>
      </c>
    </row>
    <row r="42" spans="3:4" ht="28.5" customHeight="1" x14ac:dyDescent="0.25">
      <c r="C42" s="170" t="s">
        <v>354</v>
      </c>
      <c r="D42" s="163">
        <v>1</v>
      </c>
    </row>
    <row r="43" spans="3:4" ht="28.5" customHeight="1" x14ac:dyDescent="0.25">
      <c r="C43" s="171"/>
      <c r="D43" s="163"/>
    </row>
    <row r="44" spans="3:4" ht="28.5" customHeight="1" x14ac:dyDescent="0.25">
      <c r="C44" s="171"/>
      <c r="D44" s="163"/>
    </row>
    <row r="45" spans="3:4" ht="28.5" customHeight="1" x14ac:dyDescent="0.25">
      <c r="C45" s="166" t="s">
        <v>355</v>
      </c>
      <c r="D45" s="169"/>
    </row>
    <row r="46" spans="3:4" ht="28.5" customHeight="1" x14ac:dyDescent="0.25">
      <c r="C46" s="170" t="s">
        <v>356</v>
      </c>
      <c r="D46" s="163">
        <v>1</v>
      </c>
    </row>
    <row r="47" spans="3:4" ht="28.5" customHeight="1" x14ac:dyDescent="0.25">
      <c r="C47" s="170" t="s">
        <v>357</v>
      </c>
      <c r="D47" s="163">
        <v>1</v>
      </c>
    </row>
    <row r="48" spans="3:4" ht="28.5" customHeight="1" x14ac:dyDescent="0.25">
      <c r="C48" s="170" t="s">
        <v>358</v>
      </c>
      <c r="D48" s="163">
        <v>1</v>
      </c>
    </row>
    <row r="49" spans="3:4" ht="28.5" customHeight="1" x14ac:dyDescent="0.25">
      <c r="C49" s="170" t="s">
        <v>359</v>
      </c>
      <c r="D49" s="163">
        <v>1</v>
      </c>
    </row>
    <row r="50" spans="3:4" ht="28.5" customHeight="1" x14ac:dyDescent="0.25">
      <c r="C50" s="172" t="s">
        <v>360</v>
      </c>
      <c r="D50" s="163">
        <v>1</v>
      </c>
    </row>
    <row r="51" spans="3:4" ht="28.5" customHeight="1" x14ac:dyDescent="0.25">
      <c r="C51" s="172" t="s">
        <v>361</v>
      </c>
      <c r="D51" s="163">
        <v>1</v>
      </c>
    </row>
    <row r="52" spans="3:4" ht="28.5" customHeight="1" x14ac:dyDescent="0.25">
      <c r="C52" s="172" t="s">
        <v>362</v>
      </c>
      <c r="D52" s="163">
        <v>1</v>
      </c>
    </row>
    <row r="53" spans="3:4" ht="28.5" customHeight="1" x14ac:dyDescent="0.25">
      <c r="C53" s="160" t="s">
        <v>363</v>
      </c>
      <c r="D53" s="163">
        <v>1</v>
      </c>
    </row>
    <row r="54" spans="3:4" ht="28.5" customHeight="1" x14ac:dyDescent="0.25">
      <c r="C54" s="160" t="s">
        <v>364</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424" t="s">
        <v>251</v>
      </c>
      <c r="E2" s="425"/>
      <c r="F2" s="425"/>
      <c r="G2" s="425"/>
      <c r="H2" s="425"/>
      <c r="I2" s="425"/>
      <c r="J2" s="425"/>
      <c r="K2" s="426"/>
      <c r="L2" s="415" t="s">
        <v>205</v>
      </c>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7"/>
      <c r="AP2" s="276" t="s">
        <v>250</v>
      </c>
      <c r="AQ2" s="412"/>
      <c r="AR2" s="412"/>
      <c r="AS2" s="412"/>
      <c r="AT2" s="412"/>
      <c r="AU2" s="412"/>
      <c r="AV2" s="265"/>
    </row>
    <row r="3" spans="1:101" x14ac:dyDescent="0.25">
      <c r="D3" s="427"/>
      <c r="E3" s="428"/>
      <c r="F3" s="428"/>
      <c r="G3" s="428"/>
      <c r="H3" s="428"/>
      <c r="I3" s="428"/>
      <c r="J3" s="428"/>
      <c r="K3" s="429"/>
      <c r="L3" s="418"/>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19"/>
      <c r="AO3" s="420"/>
      <c r="AP3" s="277" t="s">
        <v>264</v>
      </c>
      <c r="AQ3" s="413"/>
      <c r="AR3" s="413"/>
      <c r="AS3" s="413"/>
      <c r="AT3" s="413"/>
      <c r="AU3" s="413"/>
      <c r="AV3" s="267"/>
    </row>
    <row r="4" spans="1:101" x14ac:dyDescent="0.25">
      <c r="D4" s="427"/>
      <c r="E4" s="428"/>
      <c r="F4" s="428"/>
      <c r="G4" s="428"/>
      <c r="H4" s="428"/>
      <c r="I4" s="428"/>
      <c r="J4" s="428"/>
      <c r="K4" s="429"/>
      <c r="L4" s="418"/>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19"/>
      <c r="AO4" s="420"/>
      <c r="AP4" s="277" t="s">
        <v>387</v>
      </c>
      <c r="AQ4" s="413" t="s">
        <v>263</v>
      </c>
      <c r="AR4" s="413"/>
      <c r="AS4" s="413"/>
      <c r="AT4" s="413"/>
      <c r="AU4" s="413"/>
      <c r="AV4" s="267"/>
    </row>
    <row r="5" spans="1:101" ht="15.75" thickBot="1" x14ac:dyDescent="0.3">
      <c r="D5" s="430"/>
      <c r="E5" s="431"/>
      <c r="F5" s="431"/>
      <c r="G5" s="431"/>
      <c r="H5" s="431"/>
      <c r="I5" s="431"/>
      <c r="J5" s="431"/>
      <c r="K5" s="432"/>
      <c r="L5" s="421"/>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M5" s="422"/>
      <c r="AN5" s="422"/>
      <c r="AO5" s="423"/>
      <c r="AP5" s="278" t="s">
        <v>245</v>
      </c>
      <c r="AQ5" s="414" t="s">
        <v>245</v>
      </c>
      <c r="AR5" s="414"/>
      <c r="AS5" s="414"/>
      <c r="AT5" s="414"/>
      <c r="AU5" s="414"/>
      <c r="AV5" s="269"/>
    </row>
    <row r="7" spans="1:101" ht="18" customHeight="1" x14ac:dyDescent="0.25">
      <c r="C7" s="69"/>
      <c r="D7" s="364" t="s">
        <v>157</v>
      </c>
      <c r="E7" s="364"/>
      <c r="F7" s="364"/>
      <c r="G7" s="364"/>
      <c r="H7" s="364"/>
      <c r="I7" s="364"/>
      <c r="J7" s="364"/>
      <c r="K7" s="364"/>
      <c r="L7" s="471" t="s">
        <v>2</v>
      </c>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06" t="s">
        <v>266</v>
      </c>
      <c r="B8" s="306"/>
      <c r="C8" s="307"/>
      <c r="D8" s="364"/>
      <c r="E8" s="364"/>
      <c r="F8" s="364"/>
      <c r="G8" s="364"/>
      <c r="H8" s="364"/>
      <c r="I8" s="364"/>
      <c r="J8" s="364"/>
      <c r="K8" s="364"/>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364"/>
      <c r="E9" s="364"/>
      <c r="F9" s="364"/>
      <c r="G9" s="364"/>
      <c r="H9" s="364"/>
      <c r="I9" s="364"/>
      <c r="J9" s="364"/>
      <c r="K9" s="364"/>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433" t="s">
        <v>4</v>
      </c>
      <c r="E11" s="433"/>
      <c r="F11" s="434"/>
      <c r="G11" s="401" t="s">
        <v>115</v>
      </c>
      <c r="H11" s="403"/>
      <c r="I11" s="403"/>
      <c r="J11" s="403"/>
      <c r="K11" s="403"/>
      <c r="L11" s="398" t="str">
        <f>IF(AND('Mapa final'!$S$15="Muy Alta",'Mapa final'!$W$15="Leve"),CONCATENATE("R",'Mapa final'!$A$15),"")</f>
        <v/>
      </c>
      <c r="M11" s="399"/>
      <c r="N11" s="399" t="str">
        <f>IF(AND('Mapa final'!$N$16="Muy Alta",'Mapa final'!$R$16="Leve"),CONCATENATE("R",'Mapa final'!$A$16),"")</f>
        <v/>
      </c>
      <c r="O11" s="399"/>
      <c r="P11" s="399" t="str">
        <f>IF(AND('Mapa final'!$N$17="Muy Alta",'Mapa final'!$R$17="Leve"),CONCATENATE("R",'Mapa final'!$A$17),"")</f>
        <v/>
      </c>
      <c r="Q11" s="400"/>
      <c r="R11" s="398" t="str">
        <f>IF(AND('Mapa final'!$S$15="Muy Alta",'Mapa final'!$W$15="Menor"),CONCATENATE("R",'Mapa final'!$A$15),"")</f>
        <v/>
      </c>
      <c r="S11" s="399"/>
      <c r="T11" s="399" t="str">
        <f>IF(AND('Mapa final'!$S$16="Muy Alta",'Mapa final'!$W$16="Menor"),CONCATENATE("R",'Mapa final'!$A$16),"")</f>
        <v/>
      </c>
      <c r="U11" s="399"/>
      <c r="V11" s="399" t="str">
        <f>IF(AND('Mapa final'!$S$17="Muy Alta",'Mapa final'!$W$17="Menor"),CONCATENATE("R",'Mapa final'!$A$17),"")</f>
        <v/>
      </c>
      <c r="W11" s="399"/>
      <c r="X11" s="398" t="str">
        <f>IF(AND('Mapa final'!$S$15="Muy Alta",'Mapa final'!$W$15="Moderado"),CONCATENATE("R",'Mapa final'!$A$15),"")</f>
        <v/>
      </c>
      <c r="Y11" s="399"/>
      <c r="Z11" s="399" t="str">
        <f>IF(AND('Mapa final'!S$16="Muy Alta",'Mapa final'!$W$16="Moderado"),CONCATENATE("R",'Mapa final'!$A$16),"")</f>
        <v/>
      </c>
      <c r="AA11" s="399"/>
      <c r="AB11" s="399" t="str">
        <f>IF(AND('Mapa final'!$S$17="Muy Alta",'Mapa final'!$W$17="Moderado"),CONCATENATE("R",'Mapa final'!$A$17),"")</f>
        <v/>
      </c>
      <c r="AC11" s="399"/>
      <c r="AD11" s="398" t="str">
        <f>IF(AND('Mapa final'!$S$15="Muy Alta",'Mapa final'!$W$15="Mayor"),CONCATENATE("R",'Mapa final'!$A$15),"")</f>
        <v/>
      </c>
      <c r="AE11" s="399"/>
      <c r="AF11" s="399" t="str">
        <f>IF(AND('Mapa final'!$S$16="Muy Alta",'Mapa final'!$W$16="Mayor"),CONCATENATE("R",'Mapa final'!$A$16),"")</f>
        <v/>
      </c>
      <c r="AG11" s="399"/>
      <c r="AH11" s="399" t="str">
        <f>IF(AND('Mapa final'!$S$17="Muy Alta",'Mapa final'!$W$17="Mayor"),CONCATENATE("R",'Mapa final'!$A$17),"")</f>
        <v/>
      </c>
      <c r="AI11" s="399"/>
      <c r="AJ11" s="389" t="str">
        <f>IF(AND('Mapa final'!$S$15="Muy Alta",'Mapa final'!$W$15="Catastrófico"),CONCATENATE("R",'Mapa final'!$A$15),"")</f>
        <v/>
      </c>
      <c r="AK11" s="390"/>
      <c r="AL11" s="390" t="str">
        <f>IF(AND('Mapa final'!$S$16="Muy Alta",'Mapa final'!$W$16="Catastrófico"),CONCATENATE("R",'Mapa final'!$A$16),"")</f>
        <v/>
      </c>
      <c r="AM11" s="390"/>
      <c r="AN11" s="390" t="str">
        <f>IF(AND('Mapa final'!$S$17="Muy Alta",'Mapa final'!$W$17="Catastrófico"),CONCATENATE("R",'Mapa final'!$A$17),"")</f>
        <v/>
      </c>
      <c r="AO11" s="391"/>
      <c r="AQ11" s="435" t="s">
        <v>78</v>
      </c>
      <c r="AR11" s="436"/>
      <c r="AS11" s="436"/>
      <c r="AT11" s="436"/>
      <c r="AU11" s="436"/>
      <c r="AV11" s="437"/>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433"/>
      <c r="E12" s="433"/>
      <c r="F12" s="434"/>
      <c r="G12" s="405"/>
      <c r="H12" s="406"/>
      <c r="I12" s="406"/>
      <c r="J12" s="406"/>
      <c r="K12" s="406"/>
      <c r="L12" s="392"/>
      <c r="M12" s="393"/>
      <c r="N12" s="393"/>
      <c r="O12" s="393"/>
      <c r="P12" s="393"/>
      <c r="Q12" s="394"/>
      <c r="R12" s="392"/>
      <c r="S12" s="393"/>
      <c r="T12" s="393"/>
      <c r="U12" s="393"/>
      <c r="V12" s="393"/>
      <c r="W12" s="393"/>
      <c r="X12" s="392"/>
      <c r="Y12" s="393"/>
      <c r="Z12" s="393"/>
      <c r="AA12" s="393"/>
      <c r="AB12" s="393"/>
      <c r="AC12" s="393"/>
      <c r="AD12" s="392"/>
      <c r="AE12" s="393"/>
      <c r="AF12" s="393"/>
      <c r="AG12" s="393"/>
      <c r="AH12" s="393"/>
      <c r="AI12" s="393"/>
      <c r="AJ12" s="383"/>
      <c r="AK12" s="384"/>
      <c r="AL12" s="384"/>
      <c r="AM12" s="384"/>
      <c r="AN12" s="384"/>
      <c r="AO12" s="385"/>
      <c r="AP12" s="69"/>
      <c r="AQ12" s="438"/>
      <c r="AR12" s="439"/>
      <c r="AS12" s="439"/>
      <c r="AT12" s="439"/>
      <c r="AU12" s="439"/>
      <c r="AV12" s="440"/>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433"/>
      <c r="E13" s="433"/>
      <c r="F13" s="434"/>
      <c r="G13" s="405"/>
      <c r="H13" s="406"/>
      <c r="I13" s="406"/>
      <c r="J13" s="406"/>
      <c r="K13" s="406"/>
      <c r="L13" s="392" t="str">
        <f>IF(AND('Mapa final'!$S$18="Muy Alta",'Mapa final'!$W$18="Leve"),CONCATENATE("R",'Mapa final'!$A$18),"")</f>
        <v/>
      </c>
      <c r="M13" s="393"/>
      <c r="N13" s="393" t="str">
        <f>IF(AND('Mapa final'!$N$19="Muy Alta",'Mapa final'!$R$19="Leve"),CONCATENATE("R",'Mapa final'!$A$19),"")</f>
        <v/>
      </c>
      <c r="O13" s="393"/>
      <c r="P13" s="393" t="str">
        <f>IF(AND('Mapa final'!$N$20="Muy Alta",'Mapa final'!$R$20="Leve"),CONCATENATE("R",'Mapa final'!$A$20),"")</f>
        <v/>
      </c>
      <c r="Q13" s="394"/>
      <c r="R13" s="392" t="str">
        <f>IF(AND('Mapa final'!$S$18="Muy Alta",'Mapa final'!$W$18="Menor"),CONCATENATE("R",'Mapa final'!$A$18),"")</f>
        <v/>
      </c>
      <c r="S13" s="393"/>
      <c r="T13" s="393" t="str">
        <f>IF(AND('Mapa final'!$S$19="Muy Alta",'Mapa final'!$W$19="Menor"),CONCATENATE("R",'Mapa final'!$A$19),"")</f>
        <v/>
      </c>
      <c r="U13" s="393"/>
      <c r="V13" s="393" t="str">
        <f>IF(AND('Mapa final'!$S$20="Muy Alta",'Mapa final'!$W$20="Menor"),CONCATENATE("R",'Mapa final'!$A$20),"")</f>
        <v/>
      </c>
      <c r="W13" s="393"/>
      <c r="X13" s="392" t="str">
        <f>IF(AND('Mapa final'!$S$18="Muy Alta",'Mapa final'!$W$18="Moderado"),CONCATENATE("R",'Mapa final'!$A$18),"")</f>
        <v/>
      </c>
      <c r="Y13" s="393"/>
      <c r="Z13" s="393" t="str">
        <f>IF(AND('Mapa final'!$S$19="Muy Alta",'Mapa final'!$W$19="Moderado"),CONCATENATE("R",'Mapa final'!$A$19),"")</f>
        <v/>
      </c>
      <c r="AA13" s="393"/>
      <c r="AB13" s="393" t="str">
        <f>IF(AND('Mapa final'!$S$20="Muy Alta",'Mapa final'!$W$20="Moderado"),CONCATENATE("R",'Mapa final'!$A$20),"")</f>
        <v/>
      </c>
      <c r="AC13" s="393"/>
      <c r="AD13" s="392" t="str">
        <f>IF(AND('Mapa final'!$S$18="Muy Alta",'Mapa final'!$W$18="Mayor"),CONCATENATE("R",'Mapa final'!$A$18),"")</f>
        <v/>
      </c>
      <c r="AE13" s="393"/>
      <c r="AF13" s="393" t="str">
        <f>IF(AND('Mapa final'!$S$19="Muy Alta",'Mapa final'!$W$19="Mayor"),CONCATENATE("R",'Mapa final'!$A$19),"")</f>
        <v/>
      </c>
      <c r="AG13" s="393"/>
      <c r="AH13" s="393" t="str">
        <f>IF(AND('Mapa final'!$S$20="Muy Alta",'Mapa final'!$W$20="Mayor"),CONCATENATE("R",'Mapa final'!$A$20),"")</f>
        <v/>
      </c>
      <c r="AI13" s="393"/>
      <c r="AJ13" s="383" t="str">
        <f>IF(AND('Mapa final'!$S$18="Muy Alta",'Mapa final'!$W$18="Catastrófico"),CONCATENATE("R",'Mapa final'!$A$18),"")</f>
        <v/>
      </c>
      <c r="AK13" s="384"/>
      <c r="AL13" s="384" t="str">
        <f>IF(AND('Mapa final'!$S$19="Muy Alta",'Mapa final'!$W$19="Catastrófico"),CONCATENATE("R",'Mapa final'!$A$19),"")</f>
        <v/>
      </c>
      <c r="AM13" s="384"/>
      <c r="AN13" s="384" t="str">
        <f>IF(AND('Mapa final'!$S$20="Muy Alta",'Mapa final'!$N$20="Catastrófico"),CONCATENATE("R",'Mapa final'!$A$20),"")</f>
        <v/>
      </c>
      <c r="AO13" s="385"/>
      <c r="AP13" s="69"/>
      <c r="AQ13" s="438"/>
      <c r="AR13" s="439"/>
      <c r="AS13" s="439"/>
      <c r="AT13" s="439"/>
      <c r="AU13" s="439"/>
      <c r="AV13" s="440"/>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433"/>
      <c r="E14" s="433"/>
      <c r="F14" s="434"/>
      <c r="G14" s="405"/>
      <c r="H14" s="406"/>
      <c r="I14" s="406"/>
      <c r="J14" s="406"/>
      <c r="K14" s="406"/>
      <c r="L14" s="392"/>
      <c r="M14" s="393"/>
      <c r="N14" s="393"/>
      <c r="O14" s="393"/>
      <c r="P14" s="393"/>
      <c r="Q14" s="394"/>
      <c r="R14" s="392"/>
      <c r="S14" s="393"/>
      <c r="T14" s="393"/>
      <c r="U14" s="393"/>
      <c r="V14" s="393"/>
      <c r="W14" s="393"/>
      <c r="X14" s="392"/>
      <c r="Y14" s="393"/>
      <c r="Z14" s="393"/>
      <c r="AA14" s="393"/>
      <c r="AB14" s="393"/>
      <c r="AC14" s="393"/>
      <c r="AD14" s="392"/>
      <c r="AE14" s="393"/>
      <c r="AF14" s="393"/>
      <c r="AG14" s="393"/>
      <c r="AH14" s="393"/>
      <c r="AI14" s="393"/>
      <c r="AJ14" s="383"/>
      <c r="AK14" s="384"/>
      <c r="AL14" s="384"/>
      <c r="AM14" s="384"/>
      <c r="AN14" s="384"/>
      <c r="AO14" s="385"/>
      <c r="AP14" s="69"/>
      <c r="AQ14" s="438"/>
      <c r="AR14" s="439"/>
      <c r="AS14" s="439"/>
      <c r="AT14" s="439"/>
      <c r="AU14" s="439"/>
      <c r="AV14" s="440"/>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433"/>
      <c r="E15" s="433"/>
      <c r="F15" s="434"/>
      <c r="G15" s="405"/>
      <c r="H15" s="406"/>
      <c r="I15" s="406"/>
      <c r="J15" s="406"/>
      <c r="K15" s="406"/>
      <c r="L15" s="392" t="str">
        <f>IF(AND('Mapa final'!$S$23="Muy Alta",'Mapa final'!$W$23="Leve"),CONCATENATE("R",'Mapa final'!$A$23),"")</f>
        <v/>
      </c>
      <c r="M15" s="393"/>
      <c r="N15" s="393" t="str">
        <f>IF(AND('Mapa final'!$N$24="Muy Alta",'Mapa final'!$R$24="Leve"),CONCATENATE("R",'Mapa final'!$A$24),"")</f>
        <v/>
      </c>
      <c r="O15" s="393"/>
      <c r="P15" s="393" t="str">
        <f>IF(AND('Mapa final'!$N$25="Muy Alta",'Mapa final'!$R$25="Leve"),CONCATENATE("R",'Mapa final'!$A$25),"")</f>
        <v/>
      </c>
      <c r="Q15" s="394"/>
      <c r="R15" s="392" t="str">
        <f>IF(AND('Mapa final'!$S$23="Muy Alta",'Mapa final'!$W$23="Menor"),CONCATENATE("R",'Mapa final'!$A$23),"")</f>
        <v/>
      </c>
      <c r="S15" s="393"/>
      <c r="T15" s="393" t="str">
        <f>IF(AND('Mapa final'!$LU$24="Muy Alta",'Mapa final'!$W$24="Menor"),CONCATENATE("R",'Mapa final'!$A$24),"")</f>
        <v/>
      </c>
      <c r="U15" s="393"/>
      <c r="V15" s="393" t="str">
        <f>IF(AND('Mapa final'!$S$25="Muy Alta",'Mapa final'!$W$25="Menor"),CONCATENATE("R",'Mapa final'!$A$25),"")</f>
        <v/>
      </c>
      <c r="W15" s="393"/>
      <c r="X15" s="392" t="str">
        <f>IF(AND('Mapa final'!$S$23="Muy Alta",'Mapa final'!$W$23="Moderado"),CONCATENATE("R",'Mapa final'!$A$23),"")</f>
        <v/>
      </c>
      <c r="Y15" s="393"/>
      <c r="Z15" s="393" t="str">
        <f>IF(AND('Mapa final'!$S$24="Muy Alta",'Mapa final'!$W$24="Moderado"),CONCATENATE("R",'Mapa final'!$A$24),"")</f>
        <v/>
      </c>
      <c r="AA15" s="393"/>
      <c r="AB15" s="393" t="str">
        <f>IF(AND('Mapa final'!$S$25="Muy Alta",'Mapa final'!$W$25="Moderado"),CONCATENATE("R",'Mapa final'!$A$25),"")</f>
        <v/>
      </c>
      <c r="AC15" s="393"/>
      <c r="AD15" s="392" t="str">
        <f>IF(AND('Mapa final'!$S$23="Muy Alta",'Mapa final'!$W$23="Mayor"),CONCATENATE("R",'Mapa final'!$A$23),"")</f>
        <v/>
      </c>
      <c r="AE15" s="393"/>
      <c r="AF15" s="393" t="str">
        <f>IF(AND('Mapa final'!$S$24="Muy Alta",'Mapa final'!$W$24="Mayor"),CONCATENATE("R",'Mapa final'!$A$24),"")</f>
        <v/>
      </c>
      <c r="AG15" s="393"/>
      <c r="AH15" s="393" t="str">
        <f>IF(AND('Mapa final'!$S$25="Muy Alta",'Mapa final'!$W$25="Mayor"),CONCATENATE("R",'Mapa final'!$A$25),"")</f>
        <v/>
      </c>
      <c r="AI15" s="393"/>
      <c r="AJ15" s="383" t="str">
        <f>IF(AND('Mapa final'!$S$23="Muy Alta",'Mapa final'!$W$23="Catastrófico"),CONCATENATE("R",'Mapa final'!$A$23),"")</f>
        <v/>
      </c>
      <c r="AK15" s="384"/>
      <c r="AL15" s="384" t="str">
        <f>IF(AND('Mapa final'!$S$24="Muy Alta",'Mapa final'!$W$24="Catastrófico"),CONCATENATE("R",'Mapa final'!$A$24),"")</f>
        <v/>
      </c>
      <c r="AM15" s="384"/>
      <c r="AN15" s="384" t="str">
        <f>IF(AND('Mapa final'!$S$25="Muy Alta",'Mapa final'!$W$25="Catastrófico"),CONCATENATE("R",'Mapa final'!$A$25),"")</f>
        <v/>
      </c>
      <c r="AO15" s="385"/>
      <c r="AP15" s="69"/>
      <c r="AQ15" s="438"/>
      <c r="AR15" s="439"/>
      <c r="AS15" s="439"/>
      <c r="AT15" s="439"/>
      <c r="AU15" s="439"/>
      <c r="AV15" s="440"/>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433"/>
      <c r="E16" s="433"/>
      <c r="F16" s="434"/>
      <c r="G16" s="405"/>
      <c r="H16" s="406"/>
      <c r="I16" s="406"/>
      <c r="J16" s="406"/>
      <c r="K16" s="406"/>
      <c r="L16" s="392"/>
      <c r="M16" s="393"/>
      <c r="N16" s="393"/>
      <c r="O16" s="393"/>
      <c r="P16" s="393"/>
      <c r="Q16" s="394"/>
      <c r="R16" s="392"/>
      <c r="S16" s="393"/>
      <c r="T16" s="393"/>
      <c r="U16" s="393"/>
      <c r="V16" s="393"/>
      <c r="W16" s="393"/>
      <c r="X16" s="392"/>
      <c r="Y16" s="393"/>
      <c r="Z16" s="393"/>
      <c r="AA16" s="393"/>
      <c r="AB16" s="393"/>
      <c r="AC16" s="393"/>
      <c r="AD16" s="392"/>
      <c r="AE16" s="393"/>
      <c r="AF16" s="393"/>
      <c r="AG16" s="393"/>
      <c r="AH16" s="393"/>
      <c r="AI16" s="393"/>
      <c r="AJ16" s="383"/>
      <c r="AK16" s="384"/>
      <c r="AL16" s="384"/>
      <c r="AM16" s="384"/>
      <c r="AN16" s="384"/>
      <c r="AO16" s="385"/>
      <c r="AP16" s="69"/>
      <c r="AQ16" s="438"/>
      <c r="AR16" s="439"/>
      <c r="AS16" s="439"/>
      <c r="AT16" s="439"/>
      <c r="AU16" s="439"/>
      <c r="AV16" s="440"/>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433"/>
      <c r="E17" s="433"/>
      <c r="F17" s="434"/>
      <c r="G17" s="405"/>
      <c r="H17" s="406"/>
      <c r="I17" s="406"/>
      <c r="J17" s="406"/>
      <c r="K17" s="406"/>
      <c r="L17" s="392" t="str">
        <f>IF(AND('Mapa final'!$S$26="Muy Alta",'Mapa final'!$W$26="Leve"),CONCATENATE("R",'Mapa final'!$A$26),"")</f>
        <v/>
      </c>
      <c r="M17" s="393"/>
      <c r="N17" s="393" t="str">
        <f>IF(AND('Mapa final'!$N$27="Muy Alta",'Mapa final'!$R$27="Leve"),CONCATENATE("R",'Mapa final'!$A$27),"")</f>
        <v/>
      </c>
      <c r="O17" s="393"/>
      <c r="P17" s="393" t="str">
        <f>IF(AND('Mapa final'!$N$28="Muy Alta",'Mapa final'!$R$28="Leve"),CONCATENATE("R",'Mapa final'!$A$28),"")</f>
        <v/>
      </c>
      <c r="Q17" s="394"/>
      <c r="R17" s="392" t="str">
        <f>IF(AND('Mapa final'!$S$26="Muy Alta",'Mapa final'!$W$26="Menor"),CONCATENATE("R",'Mapa final'!$A$26),"")</f>
        <v/>
      </c>
      <c r="S17" s="393"/>
      <c r="T17" s="393" t="str">
        <f>IF(AND('Mapa final'!$S$27="Muy Alta",'Mapa final'!$W$27="Menor"),CONCATENATE("R",'Mapa final'!$A$27),"")</f>
        <v/>
      </c>
      <c r="U17" s="393"/>
      <c r="V17" s="393" t="str">
        <f>IF(AND('Mapa final'!$S$28="Muy Alta",'Mapa final'!$W$28="Menor"),CONCATENATE("R",'Mapa final'!$A$28),"")</f>
        <v/>
      </c>
      <c r="W17" s="393"/>
      <c r="X17" s="392" t="str">
        <f>IF(AND('Mapa final'!$S$26="Muy Alta",'Mapa final'!$W$26="Moderado"),CONCATENATE("R",'Mapa final'!$A$26),"")</f>
        <v/>
      </c>
      <c r="Y17" s="393"/>
      <c r="Z17" s="393" t="str">
        <f>IF(AND('Mapa final'!$S$27="Muy Alta",'Mapa final'!$W$27="Moderado"),CONCATENATE("R",'Mapa final'!$A$27),"")</f>
        <v/>
      </c>
      <c r="AA17" s="393"/>
      <c r="AB17" s="393" t="str">
        <f>IF(AND('Mapa final'!$S$28="Muy Alta",'Mapa final'!$W$28="Moderado"),CONCATENATE("R",'Mapa final'!$A$28),"")</f>
        <v/>
      </c>
      <c r="AC17" s="393"/>
      <c r="AD17" s="392" t="str">
        <f>IF(AND('Mapa final'!$S$26="Muy Alta",'Mapa final'!$W$26="Mayor"),CONCATENATE("R",'Mapa final'!$A$26),"")</f>
        <v/>
      </c>
      <c r="AE17" s="393"/>
      <c r="AF17" s="393" t="str">
        <f>IF(AND('Mapa final'!$S$27="Muy Alta",'Mapa final'!$W$27="Mayor"),CONCATENATE("R",'Mapa final'!$A$27),"")</f>
        <v/>
      </c>
      <c r="AG17" s="393"/>
      <c r="AH17" s="393" t="str">
        <f>IF(AND('Mapa final'!$S$28="Muy Alta",'Mapa final'!$W$28="Mayor"),CONCATENATE("R",'Mapa final'!$A$28),"")</f>
        <v/>
      </c>
      <c r="AI17" s="393"/>
      <c r="AJ17" s="383" t="str">
        <f>IF(AND('Mapa final'!$S$26="Muy Alta",'Mapa final'!$W$26="Catastrófico"),CONCATENATE("R",'Mapa final'!$A$26),"")</f>
        <v/>
      </c>
      <c r="AK17" s="384"/>
      <c r="AL17" s="384" t="str">
        <f>IF(AND('Mapa final'!$S$27="Muy Alta",'Mapa final'!$W$27="Catastrófico"),CONCATENATE("R",'Mapa final'!$A$27),"")</f>
        <v/>
      </c>
      <c r="AM17" s="384"/>
      <c r="AN17" s="384" t="str">
        <f>IF(AND('Mapa final'!$S$28="Muy Alta",'Mapa final'!$W$28="Catastrófico"),CONCATENATE("R",'Mapa final'!$A$28),"")</f>
        <v/>
      </c>
      <c r="AO17" s="385"/>
      <c r="AP17" s="69"/>
      <c r="AQ17" s="438"/>
      <c r="AR17" s="439"/>
      <c r="AS17" s="439"/>
      <c r="AT17" s="439"/>
      <c r="AU17" s="439"/>
      <c r="AV17" s="440"/>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433"/>
      <c r="E18" s="433"/>
      <c r="F18" s="434"/>
      <c r="G18" s="408"/>
      <c r="H18" s="409"/>
      <c r="I18" s="409"/>
      <c r="J18" s="409"/>
      <c r="K18" s="409"/>
      <c r="L18" s="395"/>
      <c r="M18" s="396"/>
      <c r="N18" s="396"/>
      <c r="O18" s="396"/>
      <c r="P18" s="396"/>
      <c r="Q18" s="397"/>
      <c r="R18" s="395"/>
      <c r="S18" s="396"/>
      <c r="T18" s="396"/>
      <c r="U18" s="396"/>
      <c r="V18" s="396"/>
      <c r="W18" s="396"/>
      <c r="X18" s="392"/>
      <c r="Y18" s="393"/>
      <c r="Z18" s="393"/>
      <c r="AA18" s="393"/>
      <c r="AB18" s="393"/>
      <c r="AC18" s="393"/>
      <c r="AD18" s="392"/>
      <c r="AE18" s="393"/>
      <c r="AF18" s="393"/>
      <c r="AG18" s="393"/>
      <c r="AH18" s="393"/>
      <c r="AI18" s="393"/>
      <c r="AJ18" s="383"/>
      <c r="AK18" s="384"/>
      <c r="AL18" s="384"/>
      <c r="AM18" s="384"/>
      <c r="AN18" s="384"/>
      <c r="AO18" s="385"/>
      <c r="AP18" s="69"/>
      <c r="AQ18" s="441"/>
      <c r="AR18" s="442"/>
      <c r="AS18" s="442"/>
      <c r="AT18" s="442"/>
      <c r="AU18" s="442"/>
      <c r="AV18" s="443"/>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433"/>
      <c r="E19" s="433"/>
      <c r="F19" s="434"/>
      <c r="G19" s="401" t="s">
        <v>114</v>
      </c>
      <c r="H19" s="403"/>
      <c r="I19" s="403"/>
      <c r="J19" s="403"/>
      <c r="K19" s="403"/>
      <c r="L19" s="380" t="str">
        <f>IF(AND('Mapa final'!$S$15="Alta",'Mapa final'!$W$15="Leve"),CONCATENATE("R",'Mapa final'!$A$15),"")</f>
        <v/>
      </c>
      <c r="M19" s="381"/>
      <c r="N19" s="381" t="str">
        <f>IF(AND('Mapa final'!$N$16="Alta",'Mapa final'!$R$16="Leve"),CONCATENATE("R",'Mapa final'!$A$16),"")</f>
        <v/>
      </c>
      <c r="O19" s="381"/>
      <c r="P19" s="381" t="str">
        <f>IF(AND('Mapa final'!$N$17="Alta",'Mapa final'!$R$17="Leve"),CONCATENATE("R",'Mapa final'!$A$17),"")</f>
        <v/>
      </c>
      <c r="Q19" s="382"/>
      <c r="R19" s="380" t="str">
        <f>IF(AND('Mapa final'!$S$15="Alta",'Mapa final'!$W$15="Menor"),CONCATENATE("R",'Mapa final'!$A$15),"")</f>
        <v/>
      </c>
      <c r="S19" s="381"/>
      <c r="T19" s="375" t="str">
        <f>IF(AND('Mapa final'!$S$16="Alta",'Mapa final'!$W$16="Menor"),CONCATENATE("R",'Mapa final'!$A$16),"")</f>
        <v/>
      </c>
      <c r="U19" s="375"/>
      <c r="V19" s="375" t="str">
        <f>IF(AND('Mapa final'!$S$17="Alta",'Mapa final'!$W$17="Menor"),CONCATENATE("R",'Mapa final'!$A$17),"")</f>
        <v/>
      </c>
      <c r="W19" s="375"/>
      <c r="X19" s="398" t="str">
        <f>IF(AND('Mapa final'!$S$15="Alta",'Mapa final'!$W$15="Moderado"),CONCATENATE("R",'Mapa final'!$A$15),"")</f>
        <v/>
      </c>
      <c r="Y19" s="399"/>
      <c r="Z19" s="399" t="str">
        <f>IF(AND('Mapa final'!S$16="Alta",'Mapa final'!$W$16="Moderado"),CONCATENATE("R",'Mapa final'!$A$16),"")</f>
        <v/>
      </c>
      <c r="AA19" s="399"/>
      <c r="AB19" s="399" t="str">
        <f>IF(AND('Mapa final'!$S$17="Alta",'Mapa final'!$W$17="Moderado"),CONCATENATE("R",'Mapa final'!$A$17),"")</f>
        <v/>
      </c>
      <c r="AC19" s="399"/>
      <c r="AD19" s="398" t="str">
        <f>IF(AND('Mapa final'!$S$15="Alta",'Mapa final'!$W$15="Mayor"),CONCATENATE("R",'Mapa final'!$A$15),"")</f>
        <v/>
      </c>
      <c r="AE19" s="399"/>
      <c r="AF19" s="399" t="str">
        <f>IF(AND('Mapa final'!$S$16="Alta",'Mapa final'!$W$16="Mayor"),CONCATENATE("R",'Mapa final'!$A$16),"")</f>
        <v/>
      </c>
      <c r="AG19" s="399"/>
      <c r="AH19" s="399" t="str">
        <f>IF(AND('Mapa final'!$S$17="Alta",'Mapa final'!$W$17="Mayor"),CONCATENATE("R",'Mapa final'!$A$17),"")</f>
        <v/>
      </c>
      <c r="AI19" s="399"/>
      <c r="AJ19" s="389" t="str">
        <f>IF(AND('Mapa final'!$S$15="Alta",'Mapa final'!$W$15="Catastrófico"),CONCATENATE("R",'Mapa final'!$A$15),"")</f>
        <v/>
      </c>
      <c r="AK19" s="390"/>
      <c r="AL19" s="390" t="str">
        <f>IF(AND('Mapa final'!$S$16="Alta",'Mapa final'!$W$16="Catastrófico"),CONCATENATE("R",'Mapa final'!$A$16),"")</f>
        <v/>
      </c>
      <c r="AM19" s="390"/>
      <c r="AN19" s="390" t="str">
        <f>IF(AND('Mapa final'!$S$17="Alta",'Mapa final'!$W$17="Catastrófico"),CONCATENATE("R",'Mapa final'!$A$17),"")</f>
        <v/>
      </c>
      <c r="AO19" s="391"/>
      <c r="AP19" s="69"/>
      <c r="AQ19" s="444" t="s">
        <v>79</v>
      </c>
      <c r="AR19" s="445"/>
      <c r="AS19" s="445"/>
      <c r="AT19" s="445"/>
      <c r="AU19" s="445"/>
      <c r="AV19" s="446"/>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433"/>
      <c r="E20" s="433"/>
      <c r="F20" s="434"/>
      <c r="G20" s="405"/>
      <c r="H20" s="406"/>
      <c r="I20" s="406"/>
      <c r="J20" s="406"/>
      <c r="K20" s="406"/>
      <c r="L20" s="374"/>
      <c r="M20" s="375"/>
      <c r="N20" s="375"/>
      <c r="O20" s="375"/>
      <c r="P20" s="375"/>
      <c r="Q20" s="376"/>
      <c r="R20" s="374"/>
      <c r="S20" s="375"/>
      <c r="T20" s="375"/>
      <c r="U20" s="375"/>
      <c r="V20" s="375"/>
      <c r="W20" s="375"/>
      <c r="X20" s="392"/>
      <c r="Y20" s="393"/>
      <c r="Z20" s="393"/>
      <c r="AA20" s="393"/>
      <c r="AB20" s="393"/>
      <c r="AC20" s="393"/>
      <c r="AD20" s="392"/>
      <c r="AE20" s="393"/>
      <c r="AF20" s="393"/>
      <c r="AG20" s="393"/>
      <c r="AH20" s="393"/>
      <c r="AI20" s="393"/>
      <c r="AJ20" s="383"/>
      <c r="AK20" s="384"/>
      <c r="AL20" s="384"/>
      <c r="AM20" s="384"/>
      <c r="AN20" s="384"/>
      <c r="AO20" s="385"/>
      <c r="AP20" s="69"/>
      <c r="AQ20" s="447"/>
      <c r="AR20" s="448"/>
      <c r="AS20" s="448"/>
      <c r="AT20" s="448"/>
      <c r="AU20" s="448"/>
      <c r="AV20" s="44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433"/>
      <c r="E21" s="433"/>
      <c r="F21" s="434"/>
      <c r="G21" s="405"/>
      <c r="H21" s="406"/>
      <c r="I21" s="406"/>
      <c r="J21" s="406"/>
      <c r="K21" s="406"/>
      <c r="L21" s="374" t="str">
        <f>IF(AND('Mapa final'!$S$18="Alta",'Mapa final'!$W$18="Leve"),CONCATENATE("R",'Mapa final'!$A$18),"")</f>
        <v/>
      </c>
      <c r="M21" s="375"/>
      <c r="N21" s="375" t="str">
        <f>IF(AND('Mapa final'!$N$19="Alta",'Mapa final'!$R$19="Leve"),CONCATENATE("R",'Mapa final'!$A$19),"")</f>
        <v/>
      </c>
      <c r="O21" s="375"/>
      <c r="P21" s="375" t="str">
        <f>IF(AND('Mapa final'!$N$20="Alta",'Mapa final'!$R$20="Leve"),CONCATENATE("R",'Mapa final'!$A$20),"")</f>
        <v/>
      </c>
      <c r="Q21" s="376"/>
      <c r="R21" s="374" t="str">
        <f>IF(AND('Mapa final'!$S$18="Alta",'Mapa final'!$W$18="Menor"),CONCATENATE("R",'Mapa final'!$A$18),"")</f>
        <v/>
      </c>
      <c r="S21" s="375"/>
      <c r="T21" s="375" t="str">
        <f>IF(AND('Mapa final'!$S$19="Alta",'Mapa final'!$W$19="Menor"),CONCATENATE("R",'Mapa final'!$A$19),"")</f>
        <v/>
      </c>
      <c r="U21" s="375"/>
      <c r="V21" s="375" t="str">
        <f>IF(AND('Mapa final'!$S$20="Alta",'Mapa final'!$W$20="Menor"),CONCATENATE("R",'Mapa final'!$A$20),"")</f>
        <v/>
      </c>
      <c r="W21" s="375"/>
      <c r="X21" s="392" t="str">
        <f>IF(AND('Mapa final'!$S$18="Alta",'Mapa final'!$W$18="Moderado"),CONCATENATE("R",'Mapa final'!$A$18),"")</f>
        <v/>
      </c>
      <c r="Y21" s="393"/>
      <c r="Z21" s="393" t="str">
        <f>IF(AND('Mapa final'!$S$19="Alta",'Mapa final'!$W$19="Moderado"),CONCATENATE("R",'Mapa final'!$A$19),"")</f>
        <v/>
      </c>
      <c r="AA21" s="393"/>
      <c r="AB21" s="393" t="str">
        <f>IF(AND('Mapa final'!$S$20="Alta",'Mapa final'!$W$20="Moderado"),CONCATENATE("R",'Mapa final'!$A$20),"")</f>
        <v/>
      </c>
      <c r="AC21" s="393"/>
      <c r="AD21" s="392" t="str">
        <f>IF(AND('Mapa final'!$S$18="Alta",'Mapa final'!$W$18="Mayor"),CONCATENATE("R",'Mapa final'!$A$18),"")</f>
        <v/>
      </c>
      <c r="AE21" s="393"/>
      <c r="AF21" s="393" t="str">
        <f>IF(AND('Mapa final'!$S$19="Alta",'Mapa final'!$W$19="Mayor"),CONCATENATE("R",'Mapa final'!$A$19),"")</f>
        <v/>
      </c>
      <c r="AG21" s="393"/>
      <c r="AH21" s="393" t="str">
        <f>IF(AND('Mapa final'!$S$20="Alta",'Mapa final'!$W$20="Mayor"),CONCATENATE("R",'Mapa final'!$A$20),"")</f>
        <v/>
      </c>
      <c r="AI21" s="393"/>
      <c r="AJ21" s="383" t="str">
        <f>IF(AND('Mapa final'!$S$18="Alta",'Mapa final'!$W$18="Catastrófico"),CONCATENATE("R",'Mapa final'!$A$18),"")</f>
        <v/>
      </c>
      <c r="AK21" s="384"/>
      <c r="AL21" s="384" t="str">
        <f>IF(AND('Mapa final'!$S$19="Alta",'Mapa final'!$W$19="Catastrófico"),CONCATENATE("R",'Mapa final'!$A$19),"")</f>
        <v/>
      </c>
      <c r="AM21" s="384"/>
      <c r="AN21" s="384" t="str">
        <f>IF(AND('Mapa final'!$S$20="Alta",'Mapa final'!$N$20="Catastrófico"),CONCATENATE("R",'Mapa final'!$A$20),"")</f>
        <v/>
      </c>
      <c r="AO21" s="385"/>
      <c r="AP21" s="69"/>
      <c r="AQ21" s="447"/>
      <c r="AR21" s="448"/>
      <c r="AS21" s="448"/>
      <c r="AT21" s="448"/>
      <c r="AU21" s="448"/>
      <c r="AV21" s="44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433"/>
      <c r="E22" s="433"/>
      <c r="F22" s="434"/>
      <c r="G22" s="405"/>
      <c r="H22" s="406"/>
      <c r="I22" s="406"/>
      <c r="J22" s="406"/>
      <c r="K22" s="406"/>
      <c r="L22" s="374"/>
      <c r="M22" s="375"/>
      <c r="N22" s="375"/>
      <c r="O22" s="375"/>
      <c r="P22" s="375"/>
      <c r="Q22" s="376"/>
      <c r="R22" s="374"/>
      <c r="S22" s="375"/>
      <c r="T22" s="375"/>
      <c r="U22" s="375"/>
      <c r="V22" s="375"/>
      <c r="W22" s="375"/>
      <c r="X22" s="392"/>
      <c r="Y22" s="393"/>
      <c r="Z22" s="393"/>
      <c r="AA22" s="393"/>
      <c r="AB22" s="393"/>
      <c r="AC22" s="393"/>
      <c r="AD22" s="392"/>
      <c r="AE22" s="393"/>
      <c r="AF22" s="393"/>
      <c r="AG22" s="393"/>
      <c r="AH22" s="393"/>
      <c r="AI22" s="393"/>
      <c r="AJ22" s="383"/>
      <c r="AK22" s="384"/>
      <c r="AL22" s="384"/>
      <c r="AM22" s="384"/>
      <c r="AN22" s="384"/>
      <c r="AO22" s="385"/>
      <c r="AP22" s="69"/>
      <c r="AQ22" s="447"/>
      <c r="AR22" s="448"/>
      <c r="AS22" s="448"/>
      <c r="AT22" s="448"/>
      <c r="AU22" s="448"/>
      <c r="AV22" s="44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433"/>
      <c r="E23" s="433"/>
      <c r="F23" s="434"/>
      <c r="G23" s="405"/>
      <c r="H23" s="406"/>
      <c r="I23" s="406"/>
      <c r="J23" s="406"/>
      <c r="K23" s="406"/>
      <c r="L23" s="374" t="str">
        <f>IF(AND('Mapa final'!$S$23="Alta",'Mapa final'!$W$23="Leve"),CONCATENATE("R",'Mapa final'!$A$23),"")</f>
        <v/>
      </c>
      <c r="M23" s="375"/>
      <c r="N23" s="375" t="str">
        <f>IF(AND('Mapa final'!$N$24="Alta",'Mapa final'!$R$24="Leve"),CONCATENATE("R",'Mapa final'!$A$24),"")</f>
        <v/>
      </c>
      <c r="O23" s="375"/>
      <c r="P23" s="375" t="str">
        <f>IF(AND('Mapa final'!$N$25="Alta",'Mapa final'!$R$25="Leve"),CONCATENATE("R",'Mapa final'!$A$25),"")</f>
        <v/>
      </c>
      <c r="Q23" s="376"/>
      <c r="R23" s="374" t="str">
        <f>IF(AND('Mapa final'!$S$23="Alta",'Mapa final'!$W$23="Menor"),CONCATENATE("R",'Mapa final'!$A$23),"")</f>
        <v/>
      </c>
      <c r="S23" s="375"/>
      <c r="T23" s="375" t="str">
        <f>IF(AND('Mapa final'!$LU$24="Alta",'Mapa final'!$W$24="Menor"),CONCATENATE("R",'Mapa final'!$A$24),"")</f>
        <v/>
      </c>
      <c r="U23" s="375"/>
      <c r="V23" s="375" t="str">
        <f>IF(AND('Mapa final'!$S$25="Alta",'Mapa final'!$W$25="Menor"),CONCATENATE("R",'Mapa final'!$A$25),"")</f>
        <v/>
      </c>
      <c r="W23" s="375"/>
      <c r="X23" s="392" t="str">
        <f>IF(AND('Mapa final'!$S$23="Alta",'Mapa final'!$W$23="Moderado"),CONCATENATE("R",'Mapa final'!$A$23),"")</f>
        <v/>
      </c>
      <c r="Y23" s="393"/>
      <c r="Z23" s="393" t="str">
        <f>IF(AND('Mapa final'!$S$24="Alta",'Mapa final'!$W$24="Moderado"),CONCATENATE("R",'Mapa final'!$A$24),"")</f>
        <v/>
      </c>
      <c r="AA23" s="393"/>
      <c r="AB23" s="393" t="str">
        <f>IF(AND('Mapa final'!$S$25="Alta",'Mapa final'!$W$25="Moderado"),CONCATENATE("R",'Mapa final'!$A$25),"")</f>
        <v/>
      </c>
      <c r="AC23" s="393"/>
      <c r="AD23" s="392" t="str">
        <f>IF(AND('Mapa final'!$S$23="Alta",'Mapa final'!$W$23="Mayor"),CONCATENATE("R",'Mapa final'!$A$23),"")</f>
        <v/>
      </c>
      <c r="AE23" s="393"/>
      <c r="AF23" s="393" t="str">
        <f>IF(AND('Mapa final'!$S$24="Alta",'Mapa final'!$W$24="Mayor"),CONCATENATE("R",'Mapa final'!$A$24),"")</f>
        <v/>
      </c>
      <c r="AG23" s="393"/>
      <c r="AH23" s="393" t="str">
        <f>IF(AND('Mapa final'!$S$25="Alta",'Mapa final'!$W$25="Mayor"),CONCATENATE("R",'Mapa final'!$A$25),"")</f>
        <v/>
      </c>
      <c r="AI23" s="393"/>
      <c r="AJ23" s="383" t="str">
        <f>IF(AND('Mapa final'!$S$23="Alta",'Mapa final'!$W$23="Catastrófico"),CONCATENATE("R",'Mapa final'!$A$23),"")</f>
        <v/>
      </c>
      <c r="AK23" s="384"/>
      <c r="AL23" s="384" t="str">
        <f>IF(AND('Mapa final'!$S$24="Alta",'Mapa final'!$W$24="Catastrófico"),CONCATENATE("R",'Mapa final'!$A$24),"")</f>
        <v/>
      </c>
      <c r="AM23" s="384"/>
      <c r="AN23" s="384" t="str">
        <f>IF(AND('Mapa final'!$S$25="Alta",'Mapa final'!$W$25="Catastrófico"),CONCATENATE("R",'Mapa final'!$A$25),"")</f>
        <v/>
      </c>
      <c r="AO23" s="385"/>
      <c r="AP23" s="69"/>
      <c r="AQ23" s="447"/>
      <c r="AR23" s="448"/>
      <c r="AS23" s="448"/>
      <c r="AT23" s="448"/>
      <c r="AU23" s="448"/>
      <c r="AV23" s="44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433"/>
      <c r="E24" s="433"/>
      <c r="F24" s="434"/>
      <c r="G24" s="405"/>
      <c r="H24" s="406"/>
      <c r="I24" s="406"/>
      <c r="J24" s="406"/>
      <c r="K24" s="406"/>
      <c r="L24" s="374"/>
      <c r="M24" s="375"/>
      <c r="N24" s="375"/>
      <c r="O24" s="375"/>
      <c r="P24" s="375"/>
      <c r="Q24" s="376"/>
      <c r="R24" s="374"/>
      <c r="S24" s="375"/>
      <c r="T24" s="375"/>
      <c r="U24" s="375"/>
      <c r="V24" s="375"/>
      <c r="W24" s="375"/>
      <c r="X24" s="392"/>
      <c r="Y24" s="393"/>
      <c r="Z24" s="393"/>
      <c r="AA24" s="393"/>
      <c r="AB24" s="393"/>
      <c r="AC24" s="393"/>
      <c r="AD24" s="392"/>
      <c r="AE24" s="393"/>
      <c r="AF24" s="393"/>
      <c r="AG24" s="393"/>
      <c r="AH24" s="393"/>
      <c r="AI24" s="393"/>
      <c r="AJ24" s="383"/>
      <c r="AK24" s="384"/>
      <c r="AL24" s="384"/>
      <c r="AM24" s="384"/>
      <c r="AN24" s="384"/>
      <c r="AO24" s="385"/>
      <c r="AP24" s="69"/>
      <c r="AQ24" s="447"/>
      <c r="AR24" s="448"/>
      <c r="AS24" s="448"/>
      <c r="AT24" s="448"/>
      <c r="AU24" s="448"/>
      <c r="AV24" s="44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433"/>
      <c r="E25" s="433"/>
      <c r="F25" s="434"/>
      <c r="G25" s="405"/>
      <c r="H25" s="406"/>
      <c r="I25" s="406"/>
      <c r="J25" s="406"/>
      <c r="K25" s="406"/>
      <c r="L25" s="374" t="str">
        <f>IF(AND('Mapa final'!$S$26="Alta",'Mapa final'!$W$26="Leve"),CONCATENATE("R",'Mapa final'!$A$26),"")</f>
        <v/>
      </c>
      <c r="M25" s="375"/>
      <c r="N25" s="375" t="str">
        <f>IF(AND('Mapa final'!$N$27="Alta",'Mapa final'!$R$27="Leve"),CONCATENATE("R",'Mapa final'!$A$27),"")</f>
        <v/>
      </c>
      <c r="O25" s="375"/>
      <c r="P25" s="375" t="str">
        <f>IF(AND('Mapa final'!$N$28="Alta",'Mapa final'!$R$28="Leve"),CONCATENATE("R",'Mapa final'!$A$28),"")</f>
        <v/>
      </c>
      <c r="Q25" s="376"/>
      <c r="R25" s="374" t="str">
        <f>IF(AND('Mapa final'!$S$26="Alta",'Mapa final'!$W$26="Menor"),CONCATENATE("R",'Mapa final'!$A$26),"")</f>
        <v/>
      </c>
      <c r="S25" s="375"/>
      <c r="T25" s="375" t="str">
        <f>IF(AND('Mapa final'!$S$27="Alta",'Mapa final'!$W$27="Menor"),CONCATENATE("R",'Mapa final'!$A$27),"")</f>
        <v/>
      </c>
      <c r="U25" s="375"/>
      <c r="V25" s="375" t="str">
        <f>IF(AND('Mapa final'!$S$28="Alta",'Mapa final'!$W$28="Menor"),CONCATENATE("R",'Mapa final'!$A$28),"")</f>
        <v/>
      </c>
      <c r="W25" s="375"/>
      <c r="X25" s="392" t="str">
        <f>IF(AND('Mapa final'!$S$26="Alta",'Mapa final'!$W$26="Moderado"),CONCATENATE("R",'Mapa final'!$A$26),"")</f>
        <v/>
      </c>
      <c r="Y25" s="393"/>
      <c r="Z25" s="393" t="str">
        <f>IF(AND('Mapa final'!$S$27="Alta",'Mapa final'!$W$27="Moderado"),CONCATENATE("R",'Mapa final'!$A$27),"")</f>
        <v/>
      </c>
      <c r="AA25" s="393"/>
      <c r="AB25" s="393" t="str">
        <f>IF(AND('Mapa final'!$S$28="Alta",'Mapa final'!$W$28="Moderado"),CONCATENATE("R",'Mapa final'!$A$28),"")</f>
        <v/>
      </c>
      <c r="AC25" s="393"/>
      <c r="AD25" s="392" t="str">
        <f>IF(AND('Mapa final'!$S$26="Alta",'Mapa final'!$W$26="Mayor"),CONCATENATE("R",'Mapa final'!$A$26),"")</f>
        <v/>
      </c>
      <c r="AE25" s="393"/>
      <c r="AF25" s="393" t="str">
        <f>IF(AND('Mapa final'!$S$27="Alta",'Mapa final'!$W$27="Mayor"),CONCATENATE("R",'Mapa final'!$A$27),"")</f>
        <v/>
      </c>
      <c r="AG25" s="393"/>
      <c r="AH25" s="393" t="str">
        <f>IF(AND('Mapa final'!$S$28="Alta",'Mapa final'!$W$28="Mayor"),CONCATENATE("R",'Mapa final'!$A$28),"")</f>
        <v/>
      </c>
      <c r="AI25" s="393"/>
      <c r="AJ25" s="383" t="str">
        <f>IF(AND('Mapa final'!$S$26="Alta",'Mapa final'!$W$26="Catastrófico"),CONCATENATE("R",'Mapa final'!$A$26),"")</f>
        <v/>
      </c>
      <c r="AK25" s="384"/>
      <c r="AL25" s="384" t="str">
        <f>IF(AND('Mapa final'!$S$27="Alta",'Mapa final'!$W$27="Catastrófico"),CONCATENATE("R",'Mapa final'!$A$27),"")</f>
        <v/>
      </c>
      <c r="AM25" s="384"/>
      <c r="AN25" s="384" t="str">
        <f>IF(AND('Mapa final'!$S$28="Alta",'Mapa final'!$W$28="Catastrófico"),CONCATENATE("R",'Mapa final'!$A$28),"")</f>
        <v/>
      </c>
      <c r="AO25" s="385"/>
      <c r="AP25" s="69"/>
      <c r="AQ25" s="447"/>
      <c r="AR25" s="448"/>
      <c r="AS25" s="448"/>
      <c r="AT25" s="448"/>
      <c r="AU25" s="448"/>
      <c r="AV25" s="44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433"/>
      <c r="E26" s="433"/>
      <c r="F26" s="434"/>
      <c r="G26" s="408"/>
      <c r="H26" s="409"/>
      <c r="I26" s="409"/>
      <c r="J26" s="409"/>
      <c r="K26" s="409"/>
      <c r="L26" s="377"/>
      <c r="M26" s="378"/>
      <c r="N26" s="378"/>
      <c r="O26" s="378"/>
      <c r="P26" s="378"/>
      <c r="Q26" s="379"/>
      <c r="R26" s="377"/>
      <c r="S26" s="378"/>
      <c r="T26" s="375"/>
      <c r="U26" s="375"/>
      <c r="V26" s="375"/>
      <c r="W26" s="375"/>
      <c r="X26" s="392"/>
      <c r="Y26" s="393"/>
      <c r="Z26" s="393"/>
      <c r="AA26" s="393"/>
      <c r="AB26" s="393"/>
      <c r="AC26" s="393"/>
      <c r="AD26" s="392"/>
      <c r="AE26" s="393"/>
      <c r="AF26" s="393"/>
      <c r="AG26" s="393"/>
      <c r="AH26" s="393"/>
      <c r="AI26" s="393"/>
      <c r="AJ26" s="383"/>
      <c r="AK26" s="384"/>
      <c r="AL26" s="384"/>
      <c r="AM26" s="384"/>
      <c r="AN26" s="384"/>
      <c r="AO26" s="385"/>
      <c r="AP26" s="69"/>
      <c r="AQ26" s="450"/>
      <c r="AR26" s="451"/>
      <c r="AS26" s="451"/>
      <c r="AT26" s="451"/>
      <c r="AU26" s="451"/>
      <c r="AV26" s="452"/>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433"/>
      <c r="E27" s="433"/>
      <c r="F27" s="434"/>
      <c r="G27" s="401" t="s">
        <v>116</v>
      </c>
      <c r="H27" s="403"/>
      <c r="I27" s="403"/>
      <c r="J27" s="403"/>
      <c r="K27" s="403"/>
      <c r="L27" s="380" t="str">
        <f>IF(AND('Mapa final'!$S$15="Media",'Mapa final'!$W$15="Leve"),CONCATENATE("R",'Mapa final'!$A$15),"")</f>
        <v/>
      </c>
      <c r="M27" s="381"/>
      <c r="N27" s="381" t="str">
        <f>IF(AND('Mapa final'!$N$16="Media",'Mapa final'!$R$16="Leve"),CONCATENATE("R",'Mapa final'!$A$16),"")</f>
        <v/>
      </c>
      <c r="O27" s="381"/>
      <c r="P27" s="381" t="str">
        <f>IF(AND('Mapa final'!$S$17="Media",'Mapa final'!$W$17="leve"),CONCATENATE("R",'Mapa final'!$D$17),"")</f>
        <v/>
      </c>
      <c r="Q27" s="382"/>
      <c r="R27" s="380" t="str">
        <f>IF(AND('Mapa final'!$S$15="Media",'Mapa final'!$W$15="Menor"),CONCATENATE("R",'Mapa final'!$A$15),"")</f>
        <v/>
      </c>
      <c r="S27" s="381"/>
      <c r="T27" s="381" t="str">
        <f>IF(AND('Mapa final'!$S$16="Media",'Mapa final'!$W$16="Menor"),CONCATENATE("R",'Mapa final'!$A$16),"")</f>
        <v/>
      </c>
      <c r="U27" s="381"/>
      <c r="V27" s="381" t="str">
        <f>IF(AND('Mapa final'!$S$17="Media",'Mapa final'!$W$17="Menor"),CONCATENATE("R",'Mapa final'!$A$17),"")</f>
        <v/>
      </c>
      <c r="W27" s="381"/>
      <c r="X27" s="380" t="str">
        <f>IF(AND('Mapa final'!$S$15="Media",'Mapa final'!$W$15="Moderado"),CONCATENATE("R",'Mapa final'!$A$15),"")</f>
        <v/>
      </c>
      <c r="Y27" s="381"/>
      <c r="Z27" s="381" t="str">
        <f>IF(AND('Mapa final'!S$16="Media",'Mapa final'!$W$16="Moderado"),CONCATENATE("R",'Mapa final'!$A$16),"")</f>
        <v/>
      </c>
      <c r="AA27" s="381"/>
      <c r="AB27" s="381" t="str">
        <f>IF(AND('Mapa final'!$S$17="Media",'Mapa final'!$W$17="Moderado"),CONCATENATE("R",'Mapa final'!$A$17),"")</f>
        <v/>
      </c>
      <c r="AC27" s="381"/>
      <c r="AD27" s="398" t="str">
        <f>IF(AND('Mapa final'!$S$15="Media",'Mapa final'!$W$15="Mayor"),CONCATENATE("R",'Mapa final'!$D$15),"")</f>
        <v/>
      </c>
      <c r="AE27" s="399"/>
      <c r="AF27" s="399" t="str">
        <f>IF(AND('Mapa final'!$S$16="Media",'Mapa final'!$W$16="Mayor"),CONCATENATE("R",'Mapa final'!$A$16),"")</f>
        <v/>
      </c>
      <c r="AG27" s="399"/>
      <c r="AH27" s="399" t="str">
        <f>IF(AND('Mapa final'!$S$17="Media",'Mapa final'!$W$17="Mayor"),CONCATENATE("R",'Mapa final'!$A$17),"")</f>
        <v/>
      </c>
      <c r="AI27" s="399"/>
      <c r="AJ27" s="389" t="str">
        <f>IF(AND('Mapa final'!$S$15="Media",'Mapa final'!$W$15="Catastrófico"),CONCATENATE("R",'Mapa final'!$A$15),"")</f>
        <v/>
      </c>
      <c r="AK27" s="390"/>
      <c r="AL27" s="390" t="str">
        <f>IF(AND('Mapa final'!$S$16="Media",'Mapa final'!$W$16="Catastrófico"),CONCATENATE("R",'Mapa final'!$A$16),"")</f>
        <v/>
      </c>
      <c r="AM27" s="390"/>
      <c r="AN27" s="390" t="str">
        <f>IF(AND('Mapa final'!$S$17="Media",'Mapa final'!$W$17="Catastrófico"),CONCATENATE("R",'Mapa final'!$A$17),"")</f>
        <v/>
      </c>
      <c r="AO27" s="391"/>
      <c r="AP27" s="69"/>
      <c r="AQ27" s="453" t="s">
        <v>80</v>
      </c>
      <c r="AR27" s="454"/>
      <c r="AS27" s="454"/>
      <c r="AT27" s="454"/>
      <c r="AU27" s="454"/>
      <c r="AV27" s="455"/>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433"/>
      <c r="E28" s="433"/>
      <c r="F28" s="434"/>
      <c r="G28" s="405"/>
      <c r="H28" s="406"/>
      <c r="I28" s="406"/>
      <c r="J28" s="406"/>
      <c r="K28" s="406"/>
      <c r="L28" s="374"/>
      <c r="M28" s="375"/>
      <c r="N28" s="375"/>
      <c r="O28" s="375"/>
      <c r="P28" s="375"/>
      <c r="Q28" s="376"/>
      <c r="R28" s="374"/>
      <c r="S28" s="375"/>
      <c r="T28" s="375"/>
      <c r="U28" s="375"/>
      <c r="V28" s="375"/>
      <c r="W28" s="375"/>
      <c r="X28" s="374"/>
      <c r="Y28" s="375"/>
      <c r="Z28" s="375"/>
      <c r="AA28" s="375"/>
      <c r="AB28" s="375"/>
      <c r="AC28" s="375"/>
      <c r="AD28" s="392"/>
      <c r="AE28" s="393"/>
      <c r="AF28" s="393"/>
      <c r="AG28" s="393"/>
      <c r="AH28" s="393"/>
      <c r="AI28" s="393"/>
      <c r="AJ28" s="383"/>
      <c r="AK28" s="384"/>
      <c r="AL28" s="384"/>
      <c r="AM28" s="384"/>
      <c r="AN28" s="384"/>
      <c r="AO28" s="385"/>
      <c r="AP28" s="69"/>
      <c r="AQ28" s="456"/>
      <c r="AR28" s="457"/>
      <c r="AS28" s="457"/>
      <c r="AT28" s="457"/>
      <c r="AU28" s="457"/>
      <c r="AV28" s="458"/>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433"/>
      <c r="E29" s="433"/>
      <c r="F29" s="434"/>
      <c r="G29" s="405"/>
      <c r="H29" s="406"/>
      <c r="I29" s="406"/>
      <c r="J29" s="406"/>
      <c r="K29" s="406"/>
      <c r="L29" s="374" t="str">
        <f>IF(AND('Mapa final'!$S$18="Media",'Mapa final'!$W$18="Leve"),CONCATENATE("R",'Mapa final'!$A$18),"")</f>
        <v/>
      </c>
      <c r="M29" s="375"/>
      <c r="N29" s="375" t="str">
        <f>IF(AND('Mapa final'!$N$19="Media",'Mapa final'!$R$19="Leve"),CONCATENATE("R",'Mapa final'!$A$19),"")</f>
        <v/>
      </c>
      <c r="O29" s="375"/>
      <c r="P29" s="375" t="str">
        <f>IF(AND('Mapa final'!$N$20="Media",'Mapa final'!$R$20="Leve"),CONCATENATE("R",'Mapa final'!$A$20),"")</f>
        <v/>
      </c>
      <c r="Q29" s="376"/>
      <c r="R29" s="374" t="str">
        <f>IF(AND('Mapa final'!$S$18="Media",'Mapa final'!$W$18="Menor"),CONCATENATE("R",'Mapa final'!$A$18),"")</f>
        <v/>
      </c>
      <c r="S29" s="375"/>
      <c r="T29" s="375" t="str">
        <f>IF(AND('Mapa final'!$S$19="Media",'Mapa final'!$W$19="Menor"),CONCATENATE("R",'Mapa final'!$A$19),"")</f>
        <v/>
      </c>
      <c r="U29" s="375"/>
      <c r="V29" s="375" t="str">
        <f>IF(AND('Mapa final'!$S$20="Media",'Mapa final'!$W$20="Menor"),CONCATENATE("R",'Mapa final'!$A$20),"")</f>
        <v/>
      </c>
      <c r="W29" s="375"/>
      <c r="X29" s="374" t="str">
        <f>IF(AND('Mapa final'!$S$18="Media",'Mapa final'!$W$18="Moderado"),CONCATENATE("R",'Mapa final'!$D$18),"")</f>
        <v>R4</v>
      </c>
      <c r="Y29" s="375"/>
      <c r="Z29" s="375" t="str">
        <f>IF(AND('Mapa final'!$S$19="Media",'Mapa final'!$W$19="Moderado"),CONCATENATE("R",'Mapa final'!$A$19),"")</f>
        <v/>
      </c>
      <c r="AA29" s="375"/>
      <c r="AB29" s="375" t="str">
        <f>IF(AND('Mapa final'!$S$20="Media",'Mapa final'!$W$20="Moderado"),CONCATENATE("R",'Mapa final'!$A$20),"")</f>
        <v/>
      </c>
      <c r="AC29" s="375"/>
      <c r="AD29" s="392" t="str">
        <f>IF(AND('Mapa final'!$S$18="Media",'Mapa final'!$W$18="Mayor"),CONCATENATE("R",'Mapa final'!$A$18),"")</f>
        <v/>
      </c>
      <c r="AE29" s="393"/>
      <c r="AF29" s="393" t="str">
        <f>IF(AND('Mapa final'!$S$19="Media",'Mapa final'!$W$19="Mayor"),CONCATENATE("R",'Mapa final'!$A$19),"")</f>
        <v/>
      </c>
      <c r="AG29" s="393"/>
      <c r="AH29" s="393" t="str">
        <f>IF(AND('Mapa final'!$S$20="Media",'Mapa final'!$W$20="Mayor"),CONCATENATE("R",'Mapa final'!$A$20),"")</f>
        <v/>
      </c>
      <c r="AI29" s="393"/>
      <c r="AJ29" s="383" t="str">
        <f>IF(AND('Mapa final'!$S$18="Media",'Mapa final'!$W$18="Catastrófico"),CONCATENATE("R",'Mapa final'!$A$18),"")</f>
        <v/>
      </c>
      <c r="AK29" s="384"/>
      <c r="AL29" s="384" t="str">
        <f>IF(AND('Mapa final'!$S$19="Media",'Mapa final'!$W$19="Catastrófico"),CONCATENATE("R",'Mapa final'!$A$19),"")</f>
        <v/>
      </c>
      <c r="AM29" s="384"/>
      <c r="AN29" s="384" t="str">
        <f>IF(AND('Mapa final'!$S$20="Media",'Mapa final'!$N$20="Catastrófico"),CONCATENATE("R",'Mapa final'!$A$20),"")</f>
        <v/>
      </c>
      <c r="AO29" s="385"/>
      <c r="AP29" s="69"/>
      <c r="AQ29" s="456"/>
      <c r="AR29" s="457"/>
      <c r="AS29" s="457"/>
      <c r="AT29" s="457"/>
      <c r="AU29" s="457"/>
      <c r="AV29" s="458"/>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433"/>
      <c r="E30" s="433"/>
      <c r="F30" s="434"/>
      <c r="G30" s="405"/>
      <c r="H30" s="406"/>
      <c r="I30" s="406"/>
      <c r="J30" s="406"/>
      <c r="K30" s="406"/>
      <c r="L30" s="374"/>
      <c r="M30" s="375"/>
      <c r="N30" s="375"/>
      <c r="O30" s="375"/>
      <c r="P30" s="375"/>
      <c r="Q30" s="376"/>
      <c r="R30" s="374"/>
      <c r="S30" s="375"/>
      <c r="T30" s="375"/>
      <c r="U30" s="375"/>
      <c r="V30" s="375"/>
      <c r="W30" s="375"/>
      <c r="X30" s="374"/>
      <c r="Y30" s="375"/>
      <c r="Z30" s="375"/>
      <c r="AA30" s="375"/>
      <c r="AB30" s="375"/>
      <c r="AC30" s="375"/>
      <c r="AD30" s="392"/>
      <c r="AE30" s="393"/>
      <c r="AF30" s="393"/>
      <c r="AG30" s="393"/>
      <c r="AH30" s="393"/>
      <c r="AI30" s="393"/>
      <c r="AJ30" s="383"/>
      <c r="AK30" s="384"/>
      <c r="AL30" s="384"/>
      <c r="AM30" s="384"/>
      <c r="AN30" s="384"/>
      <c r="AO30" s="385"/>
      <c r="AP30" s="69"/>
      <c r="AQ30" s="456"/>
      <c r="AR30" s="457"/>
      <c r="AS30" s="457"/>
      <c r="AT30" s="457"/>
      <c r="AU30" s="457"/>
      <c r="AV30" s="458"/>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433"/>
      <c r="E31" s="433"/>
      <c r="F31" s="434"/>
      <c r="G31" s="405"/>
      <c r="H31" s="406"/>
      <c r="I31" s="406"/>
      <c r="J31" s="406"/>
      <c r="K31" s="406"/>
      <c r="L31" s="374" t="str">
        <f>IF(AND('Mapa final'!$S$23="Media",'Mapa final'!$W$23="Leve"),CONCATENATE("R",'Mapa final'!$A$23),"")</f>
        <v/>
      </c>
      <c r="M31" s="375"/>
      <c r="N31" s="375" t="str">
        <f>IF(AND('Mapa final'!$N$24="Media",'Mapa final'!$R$24="Leve"),CONCATENATE("R",'Mapa final'!$A$24),"")</f>
        <v/>
      </c>
      <c r="O31" s="375"/>
      <c r="P31" s="375" t="str">
        <f>IF(AND('Mapa final'!$N$25="Media",'Mapa final'!$R$25="Leve"),CONCATENATE("R",'Mapa final'!$A$25),"")</f>
        <v/>
      </c>
      <c r="Q31" s="376"/>
      <c r="R31" s="374" t="str">
        <f>IF(AND('Mapa final'!$S$23="Media",'Mapa final'!$W$23="Menor"),CONCATENATE("R",'Mapa final'!$A$23),"")</f>
        <v/>
      </c>
      <c r="S31" s="375"/>
      <c r="T31" s="375" t="str">
        <f>IF(AND('Mapa final'!$LU$24="Media",'Mapa final'!$W$24="Menor"),CONCATENATE("R",'Mapa final'!$A$24),"")</f>
        <v/>
      </c>
      <c r="U31" s="375"/>
      <c r="V31" s="375" t="str">
        <f>IF(AND('Mapa final'!$S$25="Media",'Mapa final'!$W$25="Menor"),CONCATENATE("R",'Mapa final'!$A$25),"")</f>
        <v/>
      </c>
      <c r="W31" s="375"/>
      <c r="X31" s="374" t="str">
        <f>IF(AND('Mapa final'!$S$23="Media",'Mapa final'!$W$23="Moderado"),CONCATENATE("R",'Mapa final'!$A$23),"")</f>
        <v/>
      </c>
      <c r="Y31" s="375"/>
      <c r="Z31" s="375" t="str">
        <f>IF(AND('Mapa final'!$S$24="Media",'Mapa final'!$W$24="Moderado"),CONCATENATE("R",'Mapa final'!$A$24),"")</f>
        <v/>
      </c>
      <c r="AA31" s="375"/>
      <c r="AB31" s="375" t="str">
        <f>IF(AND('Mapa final'!$S$25="Media",'Mapa final'!$W$25="Moderado"),CONCATENATE("R",'Mapa final'!$A$25),"")</f>
        <v/>
      </c>
      <c r="AC31" s="375"/>
      <c r="AD31" s="392" t="str">
        <f>IF(AND('Mapa final'!$S$23="Media",'Mapa final'!$W$23="Mayor"),CONCATENATE("R",'Mapa final'!$A$23),"")</f>
        <v/>
      </c>
      <c r="AE31" s="393"/>
      <c r="AF31" s="393" t="str">
        <f>IF(AND('Mapa final'!$S$24="Media",'Mapa final'!$W$24="Mayor"),CONCATENATE("R",'Mapa final'!$A$24),"")</f>
        <v/>
      </c>
      <c r="AG31" s="393"/>
      <c r="AH31" s="393" t="str">
        <f>IF(AND('Mapa final'!$S$25="Media",'Mapa final'!$W$25="Mayor"),CONCATENATE("R",'Mapa final'!$A$25),"")</f>
        <v/>
      </c>
      <c r="AI31" s="393"/>
      <c r="AJ31" s="383" t="str">
        <f>IF(AND('Mapa final'!$S$23="Media",'Mapa final'!$W$23="Catastrófico"),CONCATENATE("R",'Mapa final'!$A$23),"")</f>
        <v/>
      </c>
      <c r="AK31" s="384"/>
      <c r="AL31" s="384" t="str">
        <f>IF(AND('Mapa final'!$S$24="Media",'Mapa final'!$W$24="Catastrófico"),CONCATENATE("R",'Mapa final'!$A$24),"")</f>
        <v/>
      </c>
      <c r="AM31" s="384"/>
      <c r="AN31" s="384" t="str">
        <f>IF(AND('Mapa final'!$S$25="Media",'Mapa final'!$W$25="Catastrófico"),CONCATENATE("R",'Mapa final'!$A$25),"")</f>
        <v/>
      </c>
      <c r="AO31" s="385"/>
      <c r="AP31" s="69"/>
      <c r="AQ31" s="456"/>
      <c r="AR31" s="457"/>
      <c r="AS31" s="457"/>
      <c r="AT31" s="457"/>
      <c r="AU31" s="457"/>
      <c r="AV31" s="458"/>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433"/>
      <c r="E32" s="433"/>
      <c r="F32" s="434"/>
      <c r="G32" s="405"/>
      <c r="H32" s="406"/>
      <c r="I32" s="406"/>
      <c r="J32" s="406"/>
      <c r="K32" s="406"/>
      <c r="L32" s="374"/>
      <c r="M32" s="375"/>
      <c r="N32" s="375"/>
      <c r="O32" s="375"/>
      <c r="P32" s="375"/>
      <c r="Q32" s="376"/>
      <c r="R32" s="374"/>
      <c r="S32" s="375"/>
      <c r="T32" s="375"/>
      <c r="U32" s="375"/>
      <c r="V32" s="375"/>
      <c r="W32" s="375"/>
      <c r="X32" s="374"/>
      <c r="Y32" s="375"/>
      <c r="Z32" s="375"/>
      <c r="AA32" s="375"/>
      <c r="AB32" s="375"/>
      <c r="AC32" s="375"/>
      <c r="AD32" s="392"/>
      <c r="AE32" s="393"/>
      <c r="AF32" s="393"/>
      <c r="AG32" s="393"/>
      <c r="AH32" s="393"/>
      <c r="AI32" s="393"/>
      <c r="AJ32" s="383"/>
      <c r="AK32" s="384"/>
      <c r="AL32" s="384"/>
      <c r="AM32" s="384"/>
      <c r="AN32" s="384"/>
      <c r="AO32" s="385"/>
      <c r="AP32" s="69"/>
      <c r="AQ32" s="456"/>
      <c r="AR32" s="457"/>
      <c r="AS32" s="457"/>
      <c r="AT32" s="457"/>
      <c r="AU32" s="457"/>
      <c r="AV32" s="458"/>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433"/>
      <c r="E33" s="433"/>
      <c r="F33" s="434"/>
      <c r="G33" s="405"/>
      <c r="H33" s="406"/>
      <c r="I33" s="406"/>
      <c r="J33" s="406"/>
      <c r="K33" s="406"/>
      <c r="L33" s="374" t="str">
        <f>IF(AND('Mapa final'!$S$26="Mediaa",'Mapa final'!$W$26="Leve"),CONCATENATE("R",'Mapa final'!$A$26),"")</f>
        <v/>
      </c>
      <c r="M33" s="375"/>
      <c r="N33" s="375" t="str">
        <f>IF(AND('Mapa final'!$N$27="Media",'Mapa final'!$R$27="Leve"),CONCATENATE("R",'Mapa final'!$A$27),"")</f>
        <v/>
      </c>
      <c r="O33" s="375"/>
      <c r="P33" s="375" t="str">
        <f>IF(AND('Mapa final'!$N$28="Media",'Mapa final'!$R$28="Leve"),CONCATENATE("R",'Mapa final'!$A$28),"")</f>
        <v/>
      </c>
      <c r="Q33" s="376"/>
      <c r="R33" s="374" t="str">
        <f>IF(AND('Mapa final'!$S$26="Media",'Mapa final'!$W$26="Menor"),CONCATENATE("R",'Mapa final'!$A$26),"")</f>
        <v/>
      </c>
      <c r="S33" s="375"/>
      <c r="T33" s="375" t="str">
        <f>IF(AND('Mapa final'!$S$27="Media",'Mapa final'!$W$27="Menor"),CONCATENATE("R",'Mapa final'!$A$27),"")</f>
        <v/>
      </c>
      <c r="U33" s="375"/>
      <c r="V33" s="375" t="str">
        <f>IF(AND('Mapa final'!$S$28="Media",'Mapa final'!$W$28="Menor"),CONCATENATE("R",'Mapa final'!$A$28),"")</f>
        <v/>
      </c>
      <c r="W33" s="375"/>
      <c r="X33" s="374" t="str">
        <f>IF(AND('Mapa final'!$S$26="Media",'Mapa final'!$W$26="Moderado"),CONCATENATE("R",'Mapa final'!$A$26),"")</f>
        <v/>
      </c>
      <c r="Y33" s="375"/>
      <c r="Z33" s="375" t="str">
        <f>IF(AND('Mapa final'!$S$27="Media",'Mapa final'!$W$27="Moderado"),CONCATENATE("R",'Mapa final'!$A$27),"")</f>
        <v/>
      </c>
      <c r="AA33" s="375"/>
      <c r="AB33" s="375" t="str">
        <f>IF(AND('Mapa final'!$S$28="Media",'Mapa final'!$W$28="Moderado"),CONCATENATE("R",'Mapa final'!$A$28),"")</f>
        <v/>
      </c>
      <c r="AC33" s="375"/>
      <c r="AD33" s="392" t="str">
        <f>IF(AND('Mapa final'!$S$26="Media",'Mapa final'!$W$26="Mayor"),CONCATENATE("R",'Mapa final'!$A$26),"")</f>
        <v/>
      </c>
      <c r="AE33" s="393"/>
      <c r="AF33" s="393" t="str">
        <f>IF(AND('Mapa final'!$S$27="Media",'Mapa final'!$W$27="Mayor"),CONCATENATE("R",'Mapa final'!$A$27),"")</f>
        <v/>
      </c>
      <c r="AG33" s="393"/>
      <c r="AH33" s="393" t="str">
        <f>IF(AND('Mapa final'!$S$28="Media",'Mapa final'!$W$28="Mayor"),CONCATENATE("R",'Mapa final'!$A$28),"")</f>
        <v/>
      </c>
      <c r="AI33" s="393"/>
      <c r="AJ33" s="383" t="str">
        <f>IF(AND('Mapa final'!$S$26="Media",'Mapa final'!$W$26="Catastrófico"),CONCATENATE("R",'Mapa final'!$A$26),"")</f>
        <v/>
      </c>
      <c r="AK33" s="384"/>
      <c r="AL33" s="384" t="str">
        <f>IF(AND('Mapa final'!$S$27="Media",'Mapa final'!$W$27="Catastrófico"),CONCATENATE("R",'Mapa final'!$A$27),"")</f>
        <v/>
      </c>
      <c r="AM33" s="384"/>
      <c r="AN33" s="384" t="str">
        <f>IF(AND('Mapa final'!$S$28="Media",'Mapa final'!$W$28="Catastrófico"),CONCATENATE("R",'Mapa final'!$A$28),"")</f>
        <v/>
      </c>
      <c r="AO33" s="385"/>
      <c r="AP33" s="69"/>
      <c r="AQ33" s="456"/>
      <c r="AR33" s="457"/>
      <c r="AS33" s="457"/>
      <c r="AT33" s="457"/>
      <c r="AU33" s="457"/>
      <c r="AV33" s="458"/>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433"/>
      <c r="E34" s="433"/>
      <c r="F34" s="434"/>
      <c r="G34" s="408"/>
      <c r="H34" s="409"/>
      <c r="I34" s="409"/>
      <c r="J34" s="409"/>
      <c r="K34" s="409"/>
      <c r="L34" s="377"/>
      <c r="M34" s="378"/>
      <c r="N34" s="378"/>
      <c r="O34" s="378"/>
      <c r="P34" s="378"/>
      <c r="Q34" s="379"/>
      <c r="R34" s="377"/>
      <c r="S34" s="378"/>
      <c r="T34" s="378"/>
      <c r="U34" s="378"/>
      <c r="V34" s="378"/>
      <c r="W34" s="378"/>
      <c r="X34" s="377"/>
      <c r="Y34" s="378"/>
      <c r="Z34" s="378"/>
      <c r="AA34" s="378"/>
      <c r="AB34" s="378"/>
      <c r="AC34" s="378"/>
      <c r="AD34" s="395"/>
      <c r="AE34" s="396"/>
      <c r="AF34" s="396"/>
      <c r="AG34" s="396"/>
      <c r="AH34" s="396"/>
      <c r="AI34" s="396"/>
      <c r="AJ34" s="383"/>
      <c r="AK34" s="384"/>
      <c r="AL34" s="384"/>
      <c r="AM34" s="384"/>
      <c r="AN34" s="384"/>
      <c r="AO34" s="385"/>
      <c r="AP34" s="69"/>
      <c r="AQ34" s="459"/>
      <c r="AR34" s="460"/>
      <c r="AS34" s="460"/>
      <c r="AT34" s="460"/>
      <c r="AU34" s="460"/>
      <c r="AV34" s="461"/>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433"/>
      <c r="E35" s="433"/>
      <c r="F35" s="434"/>
      <c r="G35" s="401" t="s">
        <v>113</v>
      </c>
      <c r="H35" s="403"/>
      <c r="I35" s="403"/>
      <c r="J35" s="403"/>
      <c r="K35" s="403"/>
      <c r="L35" s="370" t="str">
        <f>IF(AND('Mapa final'!$S$15="Baja",'Mapa final'!$W$15="Leve"),CONCATENATE("R",'Mapa final'!$A$15),"")</f>
        <v/>
      </c>
      <c r="M35" s="371"/>
      <c r="N35" s="371" t="str">
        <f>IF(AND('Mapa final'!$N$16="Baja",'Mapa final'!$R$16="Leve"),CONCATENATE("R",'Mapa final'!$A$16),"")</f>
        <v/>
      </c>
      <c r="O35" s="371"/>
      <c r="P35" s="371" t="str">
        <f>IF(AND('Mapa final'!$N$17="Baja",'Mapa final'!$R$17="Leve"),CONCATENATE("R",'Mapa final'!$A$17),"")</f>
        <v/>
      </c>
      <c r="Q35" s="372"/>
      <c r="R35" s="380" t="str">
        <f>IF(AND('Mapa final'!$S$15="Baja",'Mapa final'!$W$15="Menor"),CONCATENATE("R",'Mapa final'!$A$15),"")</f>
        <v/>
      </c>
      <c r="S35" s="381"/>
      <c r="T35" s="375" t="str">
        <f>IF(AND('Mapa final'!$S$16="Baja",'Mapa final'!$W$16="Menor"),CONCATENATE("R",'Mapa final'!$A$16),"")</f>
        <v/>
      </c>
      <c r="U35" s="375"/>
      <c r="V35" s="375" t="str">
        <f>IF(AND('Mapa final'!$S$17="Baja",'Mapa final'!$W$17="Menor"),CONCATENATE("R",'Mapa final'!$A$17),"")</f>
        <v/>
      </c>
      <c r="W35" s="376"/>
      <c r="X35" s="374" t="str">
        <f>IF(AND('Mapa final'!$S$15="Baja",'Mapa final'!$W$15="Moderado"),CONCATENATE("R",'Mapa final'!$D$15),"")</f>
        <v>R1</v>
      </c>
      <c r="Y35" s="375"/>
      <c r="Z35" s="375" t="str">
        <f>IF(AND('Mapa final'!S$16="Baja",'Mapa final'!$W$16="Moderado"),CONCATENATE("R",'Mapa final'!$D$16),"")</f>
        <v>R2</v>
      </c>
      <c r="AA35" s="375"/>
      <c r="AB35" s="375" t="str">
        <f>IF(AND('Mapa final'!$S$17="Baja",'Mapa final'!$W$17="Moderado"),CONCATENATE("R",'Mapa final'!$D$17),"")</f>
        <v>R3</v>
      </c>
      <c r="AC35" s="376"/>
      <c r="AD35" s="392" t="str">
        <f>IF(AND('Mapa final'!$S$15="Baja",'Mapa final'!$W$15="Mayor"),CONCATENATE("R",'Mapa final'!$A$15),"")</f>
        <v/>
      </c>
      <c r="AE35" s="393"/>
      <c r="AF35" s="393" t="str">
        <f>IF(AND('Mapa final'!$S$16="Baja",'Mapa final'!$W$16="Mayor"),CONCATENATE("R",'Mapa final'!$A$16),"")</f>
        <v/>
      </c>
      <c r="AG35" s="393"/>
      <c r="AH35" s="393" t="str">
        <f>IF(AND('Mapa final'!$S$17="Baja",'Mapa final'!$W$17="Mayor"),CONCATENATE("R",'Mapa final'!$A$17),"")</f>
        <v/>
      </c>
      <c r="AI35" s="393"/>
      <c r="AJ35" s="389" t="str">
        <f>IF(AND('Mapa final'!$S$15="Baja",'Mapa final'!$W$15="Catastrófico"),CONCATENATE("R",'Mapa final'!$A$15),"")</f>
        <v/>
      </c>
      <c r="AK35" s="390"/>
      <c r="AL35" s="390" t="str">
        <f>IF(AND('Mapa final'!$S$16="Baja",'Mapa final'!$W$16="Catastrófico"),CONCATENATE("R",'Mapa final'!$A$16),"")</f>
        <v/>
      </c>
      <c r="AM35" s="390"/>
      <c r="AN35" s="390" t="str">
        <f>IF(AND('Mapa final'!$S$17="Baja",'Mapa final'!$W$17="Catastrófico"),CONCATENATE("R",'Mapa final'!$A$17),"")</f>
        <v/>
      </c>
      <c r="AO35" s="391"/>
      <c r="AP35" s="69"/>
      <c r="AQ35" s="462" t="s">
        <v>81</v>
      </c>
      <c r="AR35" s="463"/>
      <c r="AS35" s="463"/>
      <c r="AT35" s="463"/>
      <c r="AU35" s="463"/>
      <c r="AV35" s="464"/>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433"/>
      <c r="E36" s="433"/>
      <c r="F36" s="434"/>
      <c r="G36" s="405"/>
      <c r="H36" s="406"/>
      <c r="I36" s="406"/>
      <c r="J36" s="406"/>
      <c r="K36" s="406"/>
      <c r="L36" s="365"/>
      <c r="M36" s="366"/>
      <c r="N36" s="366"/>
      <c r="O36" s="366"/>
      <c r="P36" s="366"/>
      <c r="Q36" s="367"/>
      <c r="R36" s="374"/>
      <c r="S36" s="375"/>
      <c r="T36" s="375"/>
      <c r="U36" s="375"/>
      <c r="V36" s="375"/>
      <c r="W36" s="376"/>
      <c r="X36" s="374"/>
      <c r="Y36" s="375"/>
      <c r="Z36" s="375"/>
      <c r="AA36" s="375"/>
      <c r="AB36" s="375"/>
      <c r="AC36" s="376"/>
      <c r="AD36" s="392"/>
      <c r="AE36" s="393"/>
      <c r="AF36" s="393"/>
      <c r="AG36" s="393"/>
      <c r="AH36" s="393"/>
      <c r="AI36" s="393"/>
      <c r="AJ36" s="383"/>
      <c r="AK36" s="384"/>
      <c r="AL36" s="384"/>
      <c r="AM36" s="384"/>
      <c r="AN36" s="384"/>
      <c r="AO36" s="385"/>
      <c r="AP36" s="69"/>
      <c r="AQ36" s="465"/>
      <c r="AR36" s="466"/>
      <c r="AS36" s="466"/>
      <c r="AT36" s="466"/>
      <c r="AU36" s="466"/>
      <c r="AV36" s="467"/>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433"/>
      <c r="E37" s="433"/>
      <c r="F37" s="434"/>
      <c r="G37" s="405"/>
      <c r="H37" s="406"/>
      <c r="I37" s="406"/>
      <c r="J37" s="406"/>
      <c r="K37" s="406"/>
      <c r="L37" s="365" t="str">
        <f>IF(AND('Mapa final'!$S$18="Baja",'Mapa final'!$W$18="Leve"),CONCATENATE("R",'Mapa final'!$A$18),"")</f>
        <v/>
      </c>
      <c r="M37" s="366"/>
      <c r="N37" s="366" t="str">
        <f>IF(AND('Mapa final'!$N$19="Baja",'Mapa final'!$R$19="Leve"),CONCATENATE("R",'Mapa final'!$A$19),"")</f>
        <v/>
      </c>
      <c r="O37" s="366"/>
      <c r="P37" s="366" t="str">
        <f>IF(AND('Mapa final'!$N$20="Baja",'Mapa final'!$R$20="Leve"),CONCATENATE("R",'Mapa final'!$A$20),"")</f>
        <v/>
      </c>
      <c r="Q37" s="367"/>
      <c r="R37" s="374" t="str">
        <f>IF(AND('Mapa final'!$S$18="Baja",'Mapa final'!$W$18="Menor"),CONCATENATE("R",'Mapa final'!$A$18),"")</f>
        <v/>
      </c>
      <c r="S37" s="375"/>
      <c r="T37" s="375" t="str">
        <f>IF(AND('Mapa final'!$S$19="Baja",'Mapa final'!$W$19="Menor"),CONCATENATE("R",'Mapa final'!$A$19),"")</f>
        <v/>
      </c>
      <c r="U37" s="375"/>
      <c r="V37" s="375" t="str">
        <f>IF(AND('Mapa final'!$S$20="Baja",'Mapa final'!$W$20="Menor"),CONCATENATE("R",'Mapa final'!$A$20),"")</f>
        <v/>
      </c>
      <c r="W37" s="376"/>
      <c r="X37" s="374" t="str">
        <f>IF(AND('Mapa final'!$S$18="Baja",'Mapa final'!$W$18="Moderado"),CONCATENATE("R",'Mapa final'!$A$18),"")</f>
        <v/>
      </c>
      <c r="Y37" s="375"/>
      <c r="Z37" s="375" t="str">
        <f>IF(AND('Mapa final'!$S$19="Baja",'Mapa final'!$W$19="Moderado"),CONCATENATE("R",'Mapa final'!$A$19),"")</f>
        <v/>
      </c>
      <c r="AA37" s="375"/>
      <c r="AB37" s="375" t="str">
        <f>IF(AND('Mapa final'!$S$20="Baja",'Mapa final'!$W$20="Moderado"),CONCATENATE("R",'Mapa final'!$A$20),"")</f>
        <v/>
      </c>
      <c r="AC37" s="376"/>
      <c r="AD37" s="392" t="str">
        <f>IF(AND('Mapa final'!$S$18="Baja",'Mapa final'!$W$18="Mayor"),CONCATENATE("R",'Mapa final'!$A$18),"")</f>
        <v/>
      </c>
      <c r="AE37" s="393"/>
      <c r="AF37" s="393" t="str">
        <f>IF(AND('Mapa final'!$S$19="Baja",'Mapa final'!$W$19="Mayor"),CONCATENATE("R",'Mapa final'!$A$19),"")</f>
        <v/>
      </c>
      <c r="AG37" s="393"/>
      <c r="AH37" s="393" t="str">
        <f>IF(AND('Mapa final'!$S$20="Baja",'Mapa final'!$W$20="Mayor"),CONCATENATE("R",'Mapa final'!$A$20),"")</f>
        <v/>
      </c>
      <c r="AI37" s="393"/>
      <c r="AJ37" s="383" t="str">
        <f>IF(AND('Mapa final'!$S$18="Baja",'Mapa final'!$W$18="Catastrófico"),CONCATENATE("R",'Mapa final'!$A$18),"")</f>
        <v/>
      </c>
      <c r="AK37" s="384"/>
      <c r="AL37" s="384" t="str">
        <f>IF(AND('Mapa final'!$S$19="Baja",'Mapa final'!$W$19="Catastrófico"),CONCATENATE("R",'Mapa final'!$A$19),"")</f>
        <v/>
      </c>
      <c r="AM37" s="384"/>
      <c r="AN37" s="384" t="str">
        <f>IF(AND('Mapa final'!$S$20="Baja",'Mapa final'!$N$20="Catastrófico"),CONCATENATE("R",'Mapa final'!$A$20),"")</f>
        <v/>
      </c>
      <c r="AO37" s="385"/>
      <c r="AP37" s="69"/>
      <c r="AQ37" s="465"/>
      <c r="AR37" s="466"/>
      <c r="AS37" s="466"/>
      <c r="AT37" s="466"/>
      <c r="AU37" s="466"/>
      <c r="AV37" s="467"/>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433"/>
      <c r="E38" s="433"/>
      <c r="F38" s="434"/>
      <c r="G38" s="405"/>
      <c r="H38" s="406"/>
      <c r="I38" s="406"/>
      <c r="J38" s="406"/>
      <c r="K38" s="406"/>
      <c r="L38" s="365"/>
      <c r="M38" s="366"/>
      <c r="N38" s="366"/>
      <c r="O38" s="366"/>
      <c r="P38" s="366"/>
      <c r="Q38" s="367"/>
      <c r="R38" s="374"/>
      <c r="S38" s="375"/>
      <c r="T38" s="375"/>
      <c r="U38" s="375"/>
      <c r="V38" s="375"/>
      <c r="W38" s="376"/>
      <c r="X38" s="374"/>
      <c r="Y38" s="375"/>
      <c r="Z38" s="375"/>
      <c r="AA38" s="375"/>
      <c r="AB38" s="375"/>
      <c r="AC38" s="376"/>
      <c r="AD38" s="392"/>
      <c r="AE38" s="393"/>
      <c r="AF38" s="393"/>
      <c r="AG38" s="393"/>
      <c r="AH38" s="393"/>
      <c r="AI38" s="393"/>
      <c r="AJ38" s="383"/>
      <c r="AK38" s="384"/>
      <c r="AL38" s="384"/>
      <c r="AM38" s="384"/>
      <c r="AN38" s="384"/>
      <c r="AO38" s="385"/>
      <c r="AP38" s="69"/>
      <c r="AQ38" s="465"/>
      <c r="AR38" s="466"/>
      <c r="AS38" s="466"/>
      <c r="AT38" s="466"/>
      <c r="AU38" s="466"/>
      <c r="AV38" s="467"/>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433"/>
      <c r="E39" s="433"/>
      <c r="F39" s="434"/>
      <c r="G39" s="405"/>
      <c r="H39" s="406"/>
      <c r="I39" s="406"/>
      <c r="J39" s="406"/>
      <c r="K39" s="406"/>
      <c r="L39" s="365" t="str">
        <f>IF(AND('Mapa final'!$S$23="Baja",'Mapa final'!$W$23="Leve"),CONCATENATE("R",'Mapa final'!$A$23),"")</f>
        <v/>
      </c>
      <c r="M39" s="366"/>
      <c r="N39" s="366" t="str">
        <f>IF(AND('Mapa final'!$N$24="Baja",'Mapa final'!$R$24="Leve"),CONCATENATE("R",'Mapa final'!$A$24),"")</f>
        <v/>
      </c>
      <c r="O39" s="366"/>
      <c r="P39" s="366" t="str">
        <f>IF(AND('Mapa final'!$N$25="Baja",'Mapa final'!$R$25="Leve"),CONCATENATE("R",'Mapa final'!$A$25),"")</f>
        <v/>
      </c>
      <c r="Q39" s="367"/>
      <c r="R39" s="374" t="str">
        <f>IF(AND('Mapa final'!$S$23="Baja",'Mapa final'!$W$23="Menor"),CONCATENATE("R",'Mapa final'!$A$23),"")</f>
        <v/>
      </c>
      <c r="S39" s="375"/>
      <c r="T39" s="375" t="str">
        <f>IF(AND('Mapa final'!$LU$24="Baja",'Mapa final'!$W$24="Menor"),CONCATENATE("R",'Mapa final'!$A$24),"")</f>
        <v/>
      </c>
      <c r="U39" s="375"/>
      <c r="V39" s="375" t="str">
        <f>IF(AND('Mapa final'!$S$25="Baja",'Mapa final'!$W$25="Menor"),CONCATENATE("R",'Mapa final'!$A$25),"")</f>
        <v/>
      </c>
      <c r="W39" s="376"/>
      <c r="X39" s="374" t="str">
        <f>IF(AND('Mapa final'!$S$23="Baja",'Mapa final'!$W$23="Moderado"),CONCATENATE("R",'Mapa final'!$A$23),"")</f>
        <v/>
      </c>
      <c r="Y39" s="375"/>
      <c r="Z39" s="375" t="str">
        <f>IF(AND('Mapa final'!$S$24="Baja",'Mapa final'!$W$24="Moderado"),CONCATENATE("R",'Mapa final'!$A$24),"")</f>
        <v/>
      </c>
      <c r="AA39" s="375"/>
      <c r="AB39" s="375" t="str">
        <f>IF(AND('Mapa final'!$S$25="Baja",'Mapa final'!$W$25="Moderado"),CONCATENATE("R",'Mapa final'!$A$25),"")</f>
        <v/>
      </c>
      <c r="AC39" s="376"/>
      <c r="AD39" s="392" t="str">
        <f>IF(AND('Mapa final'!$S$23="Baja",'Mapa final'!$W$23="Mayor"),CONCATENATE("R",'Mapa final'!$A$23),"")</f>
        <v/>
      </c>
      <c r="AE39" s="393"/>
      <c r="AF39" s="393" t="str">
        <f>IF(AND('Mapa final'!$S$24="Baja",'Mapa final'!$W$24="Mayor"),CONCATENATE("R",'Mapa final'!$A$24),"")</f>
        <v/>
      </c>
      <c r="AG39" s="393"/>
      <c r="AH39" s="393" t="str">
        <f>IF(AND('Mapa final'!$S$25="Baja",'Mapa final'!$W$25="Mayor"),CONCATENATE("R",'Mapa final'!$A$25),"")</f>
        <v/>
      </c>
      <c r="AI39" s="393"/>
      <c r="AJ39" s="383" t="str">
        <f>IF(AND('Mapa final'!$S$23="Baja",'Mapa final'!$W$23="Catastrófico"),CONCATENATE("R",'Mapa final'!$A$23),"")</f>
        <v/>
      </c>
      <c r="AK39" s="384"/>
      <c r="AL39" s="384" t="str">
        <f>IF(AND('Mapa final'!$S$24="Baja",'Mapa final'!$W$24="Catastrófico"),CONCATENATE("R",'Mapa final'!$A$24),"")</f>
        <v/>
      </c>
      <c r="AM39" s="384"/>
      <c r="AN39" s="384" t="str">
        <f>IF(AND('Mapa final'!$S$25="Baja",'Mapa final'!$W$25="Catastrófico"),CONCATENATE("R",'Mapa final'!$A$25),"")</f>
        <v/>
      </c>
      <c r="AO39" s="385"/>
      <c r="AP39" s="69"/>
      <c r="AQ39" s="465"/>
      <c r="AR39" s="466"/>
      <c r="AS39" s="466"/>
      <c r="AT39" s="466"/>
      <c r="AU39" s="466"/>
      <c r="AV39" s="467"/>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433"/>
      <c r="E40" s="433"/>
      <c r="F40" s="434"/>
      <c r="G40" s="405"/>
      <c r="H40" s="406"/>
      <c r="I40" s="406"/>
      <c r="J40" s="406"/>
      <c r="K40" s="406"/>
      <c r="L40" s="365"/>
      <c r="M40" s="366"/>
      <c r="N40" s="366"/>
      <c r="O40" s="366"/>
      <c r="P40" s="366"/>
      <c r="Q40" s="367"/>
      <c r="R40" s="374"/>
      <c r="S40" s="375"/>
      <c r="T40" s="375"/>
      <c r="U40" s="375"/>
      <c r="V40" s="375"/>
      <c r="W40" s="376"/>
      <c r="X40" s="374"/>
      <c r="Y40" s="375"/>
      <c r="Z40" s="375"/>
      <c r="AA40" s="375"/>
      <c r="AB40" s="375"/>
      <c r="AC40" s="376"/>
      <c r="AD40" s="392"/>
      <c r="AE40" s="393"/>
      <c r="AF40" s="393"/>
      <c r="AG40" s="393"/>
      <c r="AH40" s="393"/>
      <c r="AI40" s="393"/>
      <c r="AJ40" s="383"/>
      <c r="AK40" s="384"/>
      <c r="AL40" s="384"/>
      <c r="AM40" s="384"/>
      <c r="AN40" s="384"/>
      <c r="AO40" s="385"/>
      <c r="AP40" s="69"/>
      <c r="AQ40" s="465"/>
      <c r="AR40" s="466"/>
      <c r="AS40" s="466"/>
      <c r="AT40" s="466"/>
      <c r="AU40" s="466"/>
      <c r="AV40" s="467"/>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433"/>
      <c r="E41" s="433"/>
      <c r="F41" s="434"/>
      <c r="G41" s="405"/>
      <c r="H41" s="406"/>
      <c r="I41" s="406"/>
      <c r="J41" s="406"/>
      <c r="K41" s="406"/>
      <c r="L41" s="365" t="str">
        <f>IF(AND('Mapa final'!$S$26="Baja",'Mapa final'!$W$26="Leve"),CONCATENATE("R",'Mapa final'!$A$26),"")</f>
        <v/>
      </c>
      <c r="M41" s="366"/>
      <c r="N41" s="366" t="str">
        <f>IF(AND('Mapa final'!$N$27="Baja",'Mapa final'!$R$27="Leve"),CONCATENATE("R",'Mapa final'!$A$27),"")</f>
        <v/>
      </c>
      <c r="O41" s="366"/>
      <c r="P41" s="366" t="str">
        <f>IF(AND('Mapa final'!$N$28="Baja",'Mapa final'!$R$28="Leve"),CONCATENATE("R",'Mapa final'!$A$28),"")</f>
        <v/>
      </c>
      <c r="Q41" s="367"/>
      <c r="R41" s="374" t="str">
        <f>IF(AND('Mapa final'!$S$26="Baja",'Mapa final'!$W$26="Menor"),CONCATENATE("R",'Mapa final'!$A$26),"")</f>
        <v/>
      </c>
      <c r="S41" s="375"/>
      <c r="T41" s="375" t="str">
        <f>IF(AND('Mapa final'!$S$27="Baja",'Mapa final'!$W$27="Menor"),CONCATENATE("R",'Mapa final'!$A$27),"")</f>
        <v/>
      </c>
      <c r="U41" s="375"/>
      <c r="V41" s="375" t="str">
        <f>IF(AND('Mapa final'!$S$28="Baja",'Mapa final'!$W$28="Menor"),CONCATENATE("R",'Mapa final'!$A$28),"")</f>
        <v/>
      </c>
      <c r="W41" s="376"/>
      <c r="X41" s="374" t="str">
        <f>IF(AND('Mapa final'!$S$26="Baja",'Mapa final'!$W$26="Moderado"),CONCATENATE("R",'Mapa final'!$A$26),"")</f>
        <v/>
      </c>
      <c r="Y41" s="375"/>
      <c r="Z41" s="375" t="str">
        <f>IF(AND('Mapa final'!$S$27="Baja",'Mapa final'!$W$27="Moderado"),CONCATENATE("R",'Mapa final'!$A$27),"")</f>
        <v/>
      </c>
      <c r="AA41" s="375"/>
      <c r="AB41" s="375" t="str">
        <f>IF(AND('Mapa final'!$S$28="Baja",'Mapa final'!$W$28="Moderado"),CONCATENATE("R",'Mapa final'!$A$28),"")</f>
        <v/>
      </c>
      <c r="AC41" s="376"/>
      <c r="AD41" s="392" t="str">
        <f>IF(AND('Mapa final'!$S$26="Baja",'Mapa final'!$W$26="Mayor"),CONCATENATE("R",'Mapa final'!$A$26),"")</f>
        <v/>
      </c>
      <c r="AE41" s="393"/>
      <c r="AF41" s="393" t="str">
        <f>IF(AND('Mapa final'!$S$27="Baja",'Mapa final'!$W$27="Mayor"),CONCATENATE("R",'Mapa final'!$A$27),"")</f>
        <v/>
      </c>
      <c r="AG41" s="393"/>
      <c r="AH41" s="393" t="str">
        <f>IF(AND('Mapa final'!$S$28="Baja",'Mapa final'!$W$28="Mayor"),CONCATENATE("R",'Mapa final'!$A$28),"")</f>
        <v/>
      </c>
      <c r="AI41" s="393"/>
      <c r="AJ41" s="383" t="str">
        <f>IF(AND('Mapa final'!$S$26="Baja",'Mapa final'!$W$26="Catastrófico"),CONCATENATE("R",'Mapa final'!$A$26),"")</f>
        <v/>
      </c>
      <c r="AK41" s="384"/>
      <c r="AL41" s="384" t="str">
        <f>IF(AND('Mapa final'!$S$27="Baja",'Mapa final'!$W$27="Catastrófico"),CONCATENATE("R",'Mapa final'!$A$27),"")</f>
        <v/>
      </c>
      <c r="AM41" s="384"/>
      <c r="AN41" s="384" t="str">
        <f>IF(AND('Mapa final'!$S$28="Baja",'Mapa final'!$W$28="Catastrófico"),CONCATENATE("R",'Mapa final'!$A$28),"")</f>
        <v/>
      </c>
      <c r="AO41" s="385"/>
      <c r="AP41" s="69"/>
      <c r="AQ41" s="465"/>
      <c r="AR41" s="466"/>
      <c r="AS41" s="466"/>
      <c r="AT41" s="466"/>
      <c r="AU41" s="466"/>
      <c r="AV41" s="467"/>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433"/>
      <c r="E42" s="433"/>
      <c r="F42" s="434"/>
      <c r="G42" s="408"/>
      <c r="H42" s="409"/>
      <c r="I42" s="409"/>
      <c r="J42" s="409"/>
      <c r="K42" s="409"/>
      <c r="L42" s="373"/>
      <c r="M42" s="368"/>
      <c r="N42" s="368"/>
      <c r="O42" s="368"/>
      <c r="P42" s="368"/>
      <c r="Q42" s="369"/>
      <c r="R42" s="377"/>
      <c r="S42" s="378"/>
      <c r="T42" s="378"/>
      <c r="U42" s="378"/>
      <c r="V42" s="378"/>
      <c r="W42" s="379"/>
      <c r="X42" s="377"/>
      <c r="Y42" s="378"/>
      <c r="Z42" s="378"/>
      <c r="AA42" s="378"/>
      <c r="AB42" s="378"/>
      <c r="AC42" s="379"/>
      <c r="AD42" s="395"/>
      <c r="AE42" s="396"/>
      <c r="AF42" s="396"/>
      <c r="AG42" s="396"/>
      <c r="AH42" s="396"/>
      <c r="AI42" s="396"/>
      <c r="AJ42" s="386"/>
      <c r="AK42" s="387"/>
      <c r="AL42" s="387"/>
      <c r="AM42" s="387"/>
      <c r="AN42" s="387"/>
      <c r="AO42" s="388"/>
      <c r="AP42" s="69"/>
      <c r="AQ42" s="468"/>
      <c r="AR42" s="469"/>
      <c r="AS42" s="469"/>
      <c r="AT42" s="469"/>
      <c r="AU42" s="469"/>
      <c r="AV42" s="470"/>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433"/>
      <c r="E43" s="433"/>
      <c r="F43" s="434"/>
      <c r="G43" s="401" t="s">
        <v>112</v>
      </c>
      <c r="H43" s="403"/>
      <c r="I43" s="403"/>
      <c r="J43" s="403"/>
      <c r="K43" s="403"/>
      <c r="L43" s="370" t="str">
        <f>IF(AND('Mapa final'!$S$15="Muy Baja",'Mapa final'!$W$15="Leve"),CONCATENATE("R",'Mapa final'!$A$15),"")</f>
        <v/>
      </c>
      <c r="M43" s="371"/>
      <c r="N43" s="371" t="str">
        <f>IF(AND('Mapa final'!$N$16="Muy Baja",'Mapa final'!$R$16="Leve"),CONCATENATE("R",'Mapa final'!$A$16),"")</f>
        <v/>
      </c>
      <c r="O43" s="371"/>
      <c r="P43" s="371" t="str">
        <f>IF(AND('Mapa final'!$N$17="Muy Baja",'Mapa final'!$R$17="Leve"),CONCATENATE("R",'Mapa final'!$A$17),"")</f>
        <v/>
      </c>
      <c r="Q43" s="372"/>
      <c r="R43" s="370" t="str">
        <f>IF(AND('Mapa final'!$S$15="Muy Baja",'Mapa final'!$W$15="Menor"),CONCATENATE("R",'Mapa final'!$A$15),"")</f>
        <v/>
      </c>
      <c r="S43" s="371"/>
      <c r="T43" s="371" t="str">
        <f>IF(AND('Mapa final'!$S$16="Muy Baja",'Mapa final'!$W$16="Menor"),CONCATENATE("R",'Mapa final'!$A$16),"")</f>
        <v/>
      </c>
      <c r="U43" s="371"/>
      <c r="V43" s="371" t="str">
        <f>IF(AND('Mapa final'!$S$17="Muy Baja",'Mapa final'!$W$17="Menor"),CONCATENATE("R",'Mapa final'!$A$17),"")</f>
        <v/>
      </c>
      <c r="W43" s="372"/>
      <c r="X43" s="380" t="str">
        <f>IF(AND('Mapa final'!$S$15="Muy Baja",'Mapa final'!$W$15="Moderado"),CONCATENATE("R",'Mapa final'!$A$15),"")</f>
        <v/>
      </c>
      <c r="Y43" s="381"/>
      <c r="Z43" s="381" t="str">
        <f>IF(AND('Mapa final'!S$16="Muy Baja",'Mapa final'!$W$16="Moderado"),CONCATENATE("R",'Mapa final'!$A$16),"")</f>
        <v/>
      </c>
      <c r="AA43" s="381"/>
      <c r="AB43" s="381" t="str">
        <f>IF(AND('Mapa final'!$S$17="Muy Baja",'Mapa final'!$W$17="Moderado"),CONCATENATE("R",'Mapa final'!$A$17),"")</f>
        <v/>
      </c>
      <c r="AC43" s="382"/>
      <c r="AD43" s="398" t="str">
        <f>IF(AND('Mapa final'!$S$15="Muy Baja",'Mapa final'!$W$15="Mayor"),CONCATENATE("R",'Mapa final'!$A$15),"")</f>
        <v/>
      </c>
      <c r="AE43" s="399"/>
      <c r="AF43" s="399" t="str">
        <f>IF(AND('Mapa final'!$S$16="Muy Baja",'Mapa final'!$W$16="Mayor"),CONCATENATE("R",'Mapa final'!$A$16),"")</f>
        <v/>
      </c>
      <c r="AG43" s="399"/>
      <c r="AH43" s="399" t="str">
        <f>IF(AND('Mapa final'!$S$17="Muy Baja",'Mapa final'!$W$17="Mayor"),CONCATENATE("R",'Mapa final'!$A$17),"")</f>
        <v/>
      </c>
      <c r="AI43" s="400"/>
      <c r="AJ43" s="383" t="str">
        <f>IF(AND('Mapa final'!$S$15="Muy Baja",'Mapa final'!$W$15="Catastrófico"),CONCATENATE("R",'Mapa final'!$A$15),"")</f>
        <v/>
      </c>
      <c r="AK43" s="384"/>
      <c r="AL43" s="384" t="str">
        <f>IF(AND('Mapa final'!$S$16="Muy Baja",'Mapa final'!$W$16="Catastrófico"),CONCATENATE("R",'Mapa final'!$A$16),"")</f>
        <v/>
      </c>
      <c r="AM43" s="384"/>
      <c r="AN43" s="384" t="str">
        <f>IF(AND('Mapa final'!$S$17="Muy Baja",'Mapa final'!$W$17="Catastrófico"),CONCATENATE("R",'Mapa final'!$A$17),"")</f>
        <v/>
      </c>
      <c r="AO43" s="385"/>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433"/>
      <c r="E44" s="433"/>
      <c r="F44" s="434"/>
      <c r="G44" s="405"/>
      <c r="H44" s="406"/>
      <c r="I44" s="406"/>
      <c r="J44" s="406"/>
      <c r="K44" s="406"/>
      <c r="L44" s="365"/>
      <c r="M44" s="366"/>
      <c r="N44" s="366"/>
      <c r="O44" s="366"/>
      <c r="P44" s="366"/>
      <c r="Q44" s="367"/>
      <c r="R44" s="365"/>
      <c r="S44" s="366"/>
      <c r="T44" s="366"/>
      <c r="U44" s="366"/>
      <c r="V44" s="366"/>
      <c r="W44" s="367"/>
      <c r="X44" s="374"/>
      <c r="Y44" s="375"/>
      <c r="Z44" s="375"/>
      <c r="AA44" s="375"/>
      <c r="AB44" s="375"/>
      <c r="AC44" s="376"/>
      <c r="AD44" s="392"/>
      <c r="AE44" s="393"/>
      <c r="AF44" s="393"/>
      <c r="AG44" s="393"/>
      <c r="AH44" s="393"/>
      <c r="AI44" s="394"/>
      <c r="AJ44" s="383"/>
      <c r="AK44" s="384"/>
      <c r="AL44" s="384"/>
      <c r="AM44" s="384"/>
      <c r="AN44" s="384"/>
      <c r="AO44" s="385"/>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433"/>
      <c r="E45" s="433"/>
      <c r="F45" s="434"/>
      <c r="G45" s="405"/>
      <c r="H45" s="406"/>
      <c r="I45" s="406"/>
      <c r="J45" s="406"/>
      <c r="K45" s="406"/>
      <c r="L45" s="365" t="str">
        <f>IF(AND('Mapa final'!$S$18="Muy Baja",'Mapa final'!$W$18="Leve"),CONCATENATE("R",'Mapa final'!$A$18),"")</f>
        <v/>
      </c>
      <c r="M45" s="366"/>
      <c r="N45" s="366" t="str">
        <f>IF(AND('Mapa final'!$N$19="Muy Baja",'Mapa final'!$R$19="Leve"),CONCATENATE("R",'Mapa final'!$A$19),"")</f>
        <v/>
      </c>
      <c r="O45" s="366"/>
      <c r="P45" s="366" t="str">
        <f>IF(AND('Mapa final'!$N$20="Muy Baja",'Mapa final'!$R$20="Leve"),CONCATENATE("R",'Mapa final'!$A$20),"")</f>
        <v/>
      </c>
      <c r="Q45" s="367"/>
      <c r="R45" s="365" t="str">
        <f>IF(AND('Mapa final'!$S$18="Muy Baja",'Mapa final'!$W$18="Menor"),CONCATENATE("R",'Mapa final'!$A$18),"")</f>
        <v/>
      </c>
      <c r="S45" s="366"/>
      <c r="T45" s="366" t="str">
        <f>IF(AND('Mapa final'!$S$19="Muy Baja",'Mapa final'!$W$19="Menor"),CONCATENATE("R",'Mapa final'!$A$19),"")</f>
        <v/>
      </c>
      <c r="U45" s="366"/>
      <c r="V45" s="366" t="str">
        <f>IF(AND('Mapa final'!$S$20="Muy Baja",'Mapa final'!$W$20="Menor"),CONCATENATE("R",'Mapa final'!$A$20),"")</f>
        <v/>
      </c>
      <c r="W45" s="367"/>
      <c r="X45" s="374" t="str">
        <f>IF(AND('Mapa final'!$S$18="Muy Baja",'Mapa final'!$W$18="Moderado"),CONCATENATE("R",'Mapa final'!$A$18),"")</f>
        <v/>
      </c>
      <c r="Y45" s="375"/>
      <c r="Z45" s="375" t="str">
        <f>IF(AND('Mapa final'!$S$19="Muy Baja",'Mapa final'!$W$19="Moderado"),CONCATENATE("R",'Mapa final'!$A$19),"")</f>
        <v/>
      </c>
      <c r="AA45" s="375"/>
      <c r="AB45" s="375" t="str">
        <f>IF(AND('Mapa final'!$S$20="Muy Baja",'Mapa final'!$W$20="Moderado"),CONCATENATE("R",'Mapa final'!$A$20),"")</f>
        <v/>
      </c>
      <c r="AC45" s="376"/>
      <c r="AD45" s="392" t="str">
        <f>IF(AND('Mapa final'!$S$18="Muy Baja",'Mapa final'!$W$18="Mayor"),CONCATENATE("R",'Mapa final'!$A$18),"")</f>
        <v/>
      </c>
      <c r="AE45" s="393"/>
      <c r="AF45" s="393" t="str">
        <f>IF(AND('Mapa final'!$S$19="Muy Baja",'Mapa final'!$W$19="Mayor"),CONCATENATE("R",'Mapa final'!$A$19),"")</f>
        <v/>
      </c>
      <c r="AG45" s="393"/>
      <c r="AH45" s="393" t="str">
        <f>IF(AND('Mapa final'!$S$20="Muy Baja",'Mapa final'!$W$20="Mayor"),CONCATENATE("R",'Mapa final'!$A$20),"")</f>
        <v/>
      </c>
      <c r="AI45" s="394"/>
      <c r="AJ45" s="383" t="str">
        <f>IF(AND('Mapa final'!$S$18="Muy Baja",'Mapa final'!$W$18="Catastrófico"),CONCATENATE("R",'Mapa final'!$A$18),"")</f>
        <v/>
      </c>
      <c r="AK45" s="384"/>
      <c r="AL45" s="384" t="str">
        <f>IF(AND('Mapa final'!$S$19="Muy Baja",'Mapa final'!$W$19="Catastrófico"),CONCATENATE("R",'Mapa final'!$A$19),"")</f>
        <v/>
      </c>
      <c r="AM45" s="384"/>
      <c r="AN45" s="384" t="str">
        <f>IF(AND('Mapa final'!$S$20="Muy Baja",'Mapa final'!$N$20="Catastrófico"),CONCATENATE("R",'Mapa final'!$A$20),"")</f>
        <v/>
      </c>
      <c r="AO45" s="385"/>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433"/>
      <c r="E46" s="433"/>
      <c r="F46" s="434"/>
      <c r="G46" s="405"/>
      <c r="H46" s="406"/>
      <c r="I46" s="406"/>
      <c r="J46" s="406"/>
      <c r="K46" s="406"/>
      <c r="L46" s="365"/>
      <c r="M46" s="366"/>
      <c r="N46" s="366"/>
      <c r="O46" s="366"/>
      <c r="P46" s="366"/>
      <c r="Q46" s="367"/>
      <c r="R46" s="365"/>
      <c r="S46" s="366"/>
      <c r="T46" s="366"/>
      <c r="U46" s="366"/>
      <c r="V46" s="366"/>
      <c r="W46" s="367"/>
      <c r="X46" s="374"/>
      <c r="Y46" s="375"/>
      <c r="Z46" s="375"/>
      <c r="AA46" s="375"/>
      <c r="AB46" s="375"/>
      <c r="AC46" s="376"/>
      <c r="AD46" s="392"/>
      <c r="AE46" s="393"/>
      <c r="AF46" s="393"/>
      <c r="AG46" s="393"/>
      <c r="AH46" s="393"/>
      <c r="AI46" s="394"/>
      <c r="AJ46" s="383"/>
      <c r="AK46" s="384"/>
      <c r="AL46" s="384"/>
      <c r="AM46" s="384"/>
      <c r="AN46" s="384"/>
      <c r="AO46" s="385"/>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433"/>
      <c r="E47" s="433"/>
      <c r="F47" s="434"/>
      <c r="G47" s="405"/>
      <c r="H47" s="406"/>
      <c r="I47" s="406"/>
      <c r="J47" s="406"/>
      <c r="K47" s="406"/>
      <c r="L47" s="365" t="str">
        <f>IF(AND('Mapa final'!$S$23="Muy Baja",'Mapa final'!$W$23="Leve"),CONCATENATE("R",'Mapa final'!$A$23),"")</f>
        <v/>
      </c>
      <c r="M47" s="366"/>
      <c r="N47" s="366" t="str">
        <f>IF(AND('Mapa final'!$N$24="Muy Baja",'Mapa final'!$R$24="Leve"),CONCATENATE("R",'Mapa final'!$A$24),"")</f>
        <v/>
      </c>
      <c r="O47" s="366"/>
      <c r="P47" s="366" t="str">
        <f>IF(AND('Mapa final'!$N$25="Muy Baja",'Mapa final'!$R$25="Leve"),CONCATENATE("R",'Mapa final'!$A$25),"")</f>
        <v/>
      </c>
      <c r="Q47" s="367"/>
      <c r="R47" s="635" t="s">
        <v>429</v>
      </c>
      <c r="S47" s="366"/>
      <c r="T47" s="366" t="str">
        <f>IF(AND('Mapa final'!$LU$24="Muy Baja",'Mapa final'!$W$24="Menor"),CONCATENATE("R",'Mapa final'!$A$24),"")</f>
        <v/>
      </c>
      <c r="U47" s="366"/>
      <c r="V47" s="366" t="str">
        <f>IF(AND('Mapa final'!$S$25="Muy Baja",'Mapa final'!$W$25="Menor"),CONCATENATE("R",'Mapa final'!$A$25),"")</f>
        <v/>
      </c>
      <c r="W47" s="367"/>
      <c r="X47" s="374" t="str">
        <f>IF(AND('Mapa final'!$S$23="Muy Baja",'Mapa final'!$W$23="Moderado"),CONCATENATE("R",'Mapa final'!$A$23),"")</f>
        <v/>
      </c>
      <c r="Y47" s="375"/>
      <c r="Z47" s="375" t="str">
        <f>IF(AND('Mapa final'!$S$24="Muy Baja",'Mapa final'!$W$24="Moderado"),CONCATENATE("R",'Mapa final'!$A$24),"")</f>
        <v/>
      </c>
      <c r="AA47" s="375"/>
      <c r="AB47" s="375" t="str">
        <f>IF(AND('Mapa final'!$S$25="Muy Baja",'Mapa final'!$W$25="Moderado"),CONCATENATE("R",'Mapa final'!$A$25),"")</f>
        <v/>
      </c>
      <c r="AC47" s="376"/>
      <c r="AD47" s="392" t="str">
        <f>IF(AND('Mapa final'!$S$23="Muy Baja",'Mapa final'!$W$23="Mayor"),CONCATENATE("R",'Mapa final'!$A$23),"")</f>
        <v/>
      </c>
      <c r="AE47" s="393"/>
      <c r="AF47" s="393" t="str">
        <f>IF(AND('Mapa final'!$S$24="Muy Baja",'Mapa final'!$W$24="Mayor"),CONCATENATE("R",'Mapa final'!$A$24),"")</f>
        <v/>
      </c>
      <c r="AG47" s="393"/>
      <c r="AH47" s="393" t="str">
        <f>IF(AND('Mapa final'!$S$25="Muy Baja",'Mapa final'!$W$25="Mayor"),CONCATENATE("R",'Mapa final'!$A$25),"")</f>
        <v/>
      </c>
      <c r="AI47" s="394"/>
      <c r="AJ47" s="383" t="str">
        <f>IF(AND('Mapa final'!$S$23="Muy Baja",'Mapa final'!$W$23="Catastrófico"),CONCATENATE("R",'Mapa final'!$A$23),"")</f>
        <v/>
      </c>
      <c r="AK47" s="384"/>
      <c r="AL47" s="384" t="str">
        <f>IF(AND('Mapa final'!$S$24="Muy Baja",'Mapa final'!$W$24="Catastrófico"),CONCATENATE("R",'Mapa final'!$A$24),"")</f>
        <v/>
      </c>
      <c r="AM47" s="384"/>
      <c r="AN47" s="384" t="str">
        <f>IF(AND('Mapa final'!$S$25="Muy Baja",'Mapa final'!$W$25="Catastrófico"),CONCATENATE("R",'Mapa final'!$A$25),"")</f>
        <v/>
      </c>
      <c r="AO47" s="385"/>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433"/>
      <c r="E48" s="433"/>
      <c r="F48" s="434"/>
      <c r="G48" s="405"/>
      <c r="H48" s="406"/>
      <c r="I48" s="406"/>
      <c r="J48" s="406"/>
      <c r="K48" s="406"/>
      <c r="L48" s="365"/>
      <c r="M48" s="366"/>
      <c r="N48" s="366"/>
      <c r="O48" s="366"/>
      <c r="P48" s="366"/>
      <c r="Q48" s="367"/>
      <c r="R48" s="365"/>
      <c r="S48" s="366"/>
      <c r="T48" s="366"/>
      <c r="U48" s="366"/>
      <c r="V48" s="366"/>
      <c r="W48" s="367"/>
      <c r="X48" s="374"/>
      <c r="Y48" s="375"/>
      <c r="Z48" s="375"/>
      <c r="AA48" s="375"/>
      <c r="AB48" s="375"/>
      <c r="AC48" s="376"/>
      <c r="AD48" s="392"/>
      <c r="AE48" s="393"/>
      <c r="AF48" s="393"/>
      <c r="AG48" s="393"/>
      <c r="AH48" s="393"/>
      <c r="AI48" s="394"/>
      <c r="AJ48" s="383"/>
      <c r="AK48" s="384"/>
      <c r="AL48" s="384"/>
      <c r="AM48" s="384"/>
      <c r="AN48" s="384"/>
      <c r="AO48" s="385"/>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433"/>
      <c r="E49" s="433"/>
      <c r="F49" s="434"/>
      <c r="G49" s="405"/>
      <c r="H49" s="406"/>
      <c r="I49" s="406"/>
      <c r="J49" s="406"/>
      <c r="K49" s="406"/>
      <c r="L49" s="365" t="str">
        <f>IF(AND('Mapa final'!$S$26="Muy Baja",'Mapa final'!$W$26="Leve"),CONCATENATE("R",'Mapa final'!$A$26),"")</f>
        <v/>
      </c>
      <c r="M49" s="366"/>
      <c r="N49" s="366" t="str">
        <f>IF(AND('Mapa final'!$N$27="Muy Baja",'Mapa final'!$R$27="Leve"),CONCATENATE("R",'Mapa final'!$A$27),"")</f>
        <v/>
      </c>
      <c r="O49" s="366"/>
      <c r="P49" s="366" t="str">
        <f>IF(AND('Mapa final'!$N$28="Muy Baja",'Mapa final'!$R$28="Leve"),CONCATENATE("R",'Mapa final'!$A$28),"")</f>
        <v/>
      </c>
      <c r="Q49" s="367"/>
      <c r="R49" s="366" t="str">
        <f>IF(AND('Mapa final'!$S$26="Muy Baja",'Mapa final'!$W$26="Menor"),CONCATENATE("R",'Mapa final'!$A$26),"")</f>
        <v/>
      </c>
      <c r="S49" s="366"/>
      <c r="T49" s="366" t="str">
        <f>IF(AND('Mapa final'!$S$27="Muy Baja",'Mapa final'!$W$27="Menor"),CONCATENATE("R",'Mapa final'!$A$27),"")</f>
        <v/>
      </c>
      <c r="U49" s="366"/>
      <c r="V49" s="366" t="str">
        <f>IF(AND('Mapa final'!$S$28="Muy Baja",'Mapa final'!$W$28="Menor"),CONCATENATE("R",'Mapa final'!$A$28),"")</f>
        <v/>
      </c>
      <c r="W49" s="367"/>
      <c r="X49" s="374" t="str">
        <f>IF(AND('Mapa final'!$S$26="Muy Baja",'Mapa final'!$W$26="Moderado"),CONCATENATE("R",'Mapa final'!$A$26),"")</f>
        <v/>
      </c>
      <c r="Y49" s="375"/>
      <c r="Z49" s="375" t="str">
        <f>IF(AND('Mapa final'!$S$27="Muy Baja",'Mapa final'!$W$27="Moderado"),CONCATENATE("R",'Mapa final'!$A$27),"")</f>
        <v/>
      </c>
      <c r="AA49" s="375"/>
      <c r="AB49" s="375" t="str">
        <f>IF(AND('Mapa final'!$S$28="Muy Baja",'Mapa final'!$W$28="Moderado"),CONCATENATE("R",'Mapa final'!$A$28),"")</f>
        <v/>
      </c>
      <c r="AC49" s="376"/>
      <c r="AD49" s="392" t="str">
        <f>IF(AND('Mapa final'!$S$26="Muy Baja",'Mapa final'!$W$26="Mayor"),CONCATENATE("R",'Mapa final'!$A$26),"")</f>
        <v/>
      </c>
      <c r="AE49" s="393"/>
      <c r="AF49" s="393" t="str">
        <f>IF(AND('Mapa final'!$S$27="Muy Baja",'Mapa final'!$W$27="Mayor"),CONCATENATE("R",'Mapa final'!$A$27),"")</f>
        <v/>
      </c>
      <c r="AG49" s="393"/>
      <c r="AH49" s="393" t="str">
        <f>IF(AND('Mapa final'!$S$28="Muy Baja",'Mapa final'!$W$28="Mayor"),CONCATENATE("R",'Mapa final'!$A$28),"")</f>
        <v/>
      </c>
      <c r="AI49" s="394"/>
      <c r="AJ49" s="383" t="str">
        <f>IF(AND('Mapa final'!$S$26="Muy Baja",'Mapa final'!$W$26="Catastrófico"),CONCATENATE("R",'Mapa final'!$A$26),"")</f>
        <v/>
      </c>
      <c r="AK49" s="384"/>
      <c r="AL49" s="384" t="str">
        <f>IF(AND('Mapa final'!$S$27="Muy Baja",'Mapa final'!$W$27="Catastrófico"),CONCATENATE("R",'Mapa final'!$A$27),"")</f>
        <v/>
      </c>
      <c r="AM49" s="384"/>
      <c r="AN49" s="384" t="str">
        <f>IF(AND('Mapa final'!$S$28="Muy Baja",'Mapa final'!$W$28="Catastrófico"),CONCATENATE("R",'Mapa final'!$A$28),"")</f>
        <v/>
      </c>
      <c r="AO49" s="385"/>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433"/>
      <c r="E50" s="433"/>
      <c r="F50" s="434"/>
      <c r="G50" s="408"/>
      <c r="H50" s="409"/>
      <c r="I50" s="409"/>
      <c r="J50" s="409"/>
      <c r="K50" s="409"/>
      <c r="L50" s="373"/>
      <c r="M50" s="368"/>
      <c r="N50" s="368"/>
      <c r="O50" s="368"/>
      <c r="P50" s="368"/>
      <c r="Q50" s="369"/>
      <c r="R50" s="368"/>
      <c r="S50" s="368"/>
      <c r="T50" s="368"/>
      <c r="U50" s="368"/>
      <c r="V50" s="368"/>
      <c r="W50" s="369"/>
      <c r="X50" s="377"/>
      <c r="Y50" s="378"/>
      <c r="Z50" s="378"/>
      <c r="AA50" s="378"/>
      <c r="AB50" s="378"/>
      <c r="AC50" s="379"/>
      <c r="AD50" s="395"/>
      <c r="AE50" s="396"/>
      <c r="AF50" s="396"/>
      <c r="AG50" s="396"/>
      <c r="AH50" s="396"/>
      <c r="AI50" s="397"/>
      <c r="AJ50" s="386"/>
      <c r="AK50" s="387"/>
      <c r="AL50" s="387"/>
      <c r="AM50" s="387"/>
      <c r="AN50" s="387"/>
      <c r="AO50" s="388"/>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11" t="s">
        <v>111</v>
      </c>
      <c r="M51" s="406"/>
      <c r="N51" s="406"/>
      <c r="O51" s="406"/>
      <c r="P51" s="406"/>
      <c r="Q51" s="407"/>
      <c r="R51" s="401" t="s">
        <v>110</v>
      </c>
      <c r="S51" s="403"/>
      <c r="T51" s="403"/>
      <c r="U51" s="403"/>
      <c r="V51" s="403"/>
      <c r="W51" s="404"/>
      <c r="X51" s="401" t="s">
        <v>109</v>
      </c>
      <c r="Y51" s="403"/>
      <c r="Z51" s="403"/>
      <c r="AA51" s="403"/>
      <c r="AB51" s="403"/>
      <c r="AC51" s="404"/>
      <c r="AD51" s="401" t="s">
        <v>108</v>
      </c>
      <c r="AE51" s="402"/>
      <c r="AF51" s="403"/>
      <c r="AG51" s="403"/>
      <c r="AH51" s="403"/>
      <c r="AI51" s="404"/>
      <c r="AJ51" s="401" t="s">
        <v>107</v>
      </c>
      <c r="AK51" s="403"/>
      <c r="AL51" s="403"/>
      <c r="AM51" s="403"/>
      <c r="AN51" s="403"/>
      <c r="AO51" s="404"/>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05"/>
      <c r="M52" s="406"/>
      <c r="N52" s="406"/>
      <c r="O52" s="406"/>
      <c r="P52" s="406"/>
      <c r="Q52" s="407"/>
      <c r="R52" s="405"/>
      <c r="S52" s="406"/>
      <c r="T52" s="406"/>
      <c r="U52" s="406"/>
      <c r="V52" s="406"/>
      <c r="W52" s="407"/>
      <c r="X52" s="405"/>
      <c r="Y52" s="406"/>
      <c r="Z52" s="406"/>
      <c r="AA52" s="406"/>
      <c r="AB52" s="406"/>
      <c r="AC52" s="407"/>
      <c r="AD52" s="405"/>
      <c r="AE52" s="406"/>
      <c r="AF52" s="406"/>
      <c r="AG52" s="406"/>
      <c r="AH52" s="406"/>
      <c r="AI52" s="407"/>
      <c r="AJ52" s="405"/>
      <c r="AK52" s="406"/>
      <c r="AL52" s="406"/>
      <c r="AM52" s="406"/>
      <c r="AN52" s="406"/>
      <c r="AO52" s="407"/>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05"/>
      <c r="M53" s="406"/>
      <c r="N53" s="406"/>
      <c r="O53" s="406"/>
      <c r="P53" s="406"/>
      <c r="Q53" s="407"/>
      <c r="R53" s="405"/>
      <c r="S53" s="406"/>
      <c r="T53" s="406"/>
      <c r="U53" s="406"/>
      <c r="V53" s="406"/>
      <c r="W53" s="407"/>
      <c r="X53" s="405"/>
      <c r="Y53" s="406"/>
      <c r="Z53" s="406"/>
      <c r="AA53" s="406"/>
      <c r="AB53" s="406"/>
      <c r="AC53" s="407"/>
      <c r="AD53" s="405"/>
      <c r="AE53" s="406"/>
      <c r="AF53" s="406"/>
      <c r="AG53" s="406"/>
      <c r="AH53" s="406"/>
      <c r="AI53" s="407"/>
      <c r="AJ53" s="405"/>
      <c r="AK53" s="406"/>
      <c r="AL53" s="406"/>
      <c r="AM53" s="406"/>
      <c r="AN53" s="406"/>
      <c r="AO53" s="407"/>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05"/>
      <c r="M54" s="406"/>
      <c r="N54" s="406"/>
      <c r="O54" s="406"/>
      <c r="P54" s="406"/>
      <c r="Q54" s="407"/>
      <c r="R54" s="405"/>
      <c r="S54" s="406"/>
      <c r="T54" s="406"/>
      <c r="U54" s="406"/>
      <c r="V54" s="406"/>
      <c r="W54" s="407"/>
      <c r="X54" s="405"/>
      <c r="Y54" s="406"/>
      <c r="Z54" s="406"/>
      <c r="AA54" s="406"/>
      <c r="AB54" s="406"/>
      <c r="AC54" s="407"/>
      <c r="AD54" s="405"/>
      <c r="AE54" s="406"/>
      <c r="AF54" s="406"/>
      <c r="AG54" s="406"/>
      <c r="AH54" s="406"/>
      <c r="AI54" s="407"/>
      <c r="AJ54" s="405"/>
      <c r="AK54" s="406"/>
      <c r="AL54" s="406"/>
      <c r="AM54" s="406"/>
      <c r="AN54" s="406"/>
      <c r="AO54" s="407"/>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05"/>
      <c r="M55" s="406"/>
      <c r="N55" s="406"/>
      <c r="O55" s="406"/>
      <c r="P55" s="406"/>
      <c r="Q55" s="407"/>
      <c r="R55" s="405"/>
      <c r="S55" s="406"/>
      <c r="T55" s="406"/>
      <c r="U55" s="406"/>
      <c r="V55" s="406"/>
      <c r="W55" s="407"/>
      <c r="X55" s="405"/>
      <c r="Y55" s="406"/>
      <c r="Z55" s="406"/>
      <c r="AA55" s="406"/>
      <c r="AB55" s="406"/>
      <c r="AC55" s="407"/>
      <c r="AD55" s="405"/>
      <c r="AE55" s="406"/>
      <c r="AF55" s="406"/>
      <c r="AG55" s="406"/>
      <c r="AH55" s="406"/>
      <c r="AI55" s="407"/>
      <c r="AJ55" s="405"/>
      <c r="AK55" s="406"/>
      <c r="AL55" s="406"/>
      <c r="AM55" s="406"/>
      <c r="AN55" s="406"/>
      <c r="AO55" s="407"/>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08"/>
      <c r="M56" s="409"/>
      <c r="N56" s="409"/>
      <c r="O56" s="409"/>
      <c r="P56" s="409"/>
      <c r="Q56" s="410"/>
      <c r="R56" s="408"/>
      <c r="S56" s="409"/>
      <c r="T56" s="409"/>
      <c r="U56" s="409"/>
      <c r="V56" s="409"/>
      <c r="W56" s="410"/>
      <c r="X56" s="408"/>
      <c r="Y56" s="409"/>
      <c r="Z56" s="409"/>
      <c r="AA56" s="409"/>
      <c r="AB56" s="409"/>
      <c r="AC56" s="410"/>
      <c r="AD56" s="408"/>
      <c r="AE56" s="409"/>
      <c r="AF56" s="409"/>
      <c r="AG56" s="409"/>
      <c r="AH56" s="409"/>
      <c r="AI56" s="410"/>
      <c r="AJ56" s="408"/>
      <c r="AK56" s="409"/>
      <c r="AL56" s="409"/>
      <c r="AM56" s="409"/>
      <c r="AN56" s="409"/>
      <c r="AO56" s="410"/>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47:AE48"/>
    <mergeCell ref="AF47:AG48"/>
    <mergeCell ref="AH47:AI48"/>
    <mergeCell ref="AD49:AE50"/>
    <mergeCell ref="AF49:AG50"/>
    <mergeCell ref="AH49:AI50"/>
    <mergeCell ref="AD43:AE44"/>
    <mergeCell ref="AF43:AG44"/>
    <mergeCell ref="AH43:AI44"/>
    <mergeCell ref="AD45:AE46"/>
    <mergeCell ref="AF45:AG46"/>
    <mergeCell ref="AH45:AI46"/>
    <mergeCell ref="AJ15:AK16"/>
    <mergeCell ref="AL15:AM16"/>
    <mergeCell ref="AN15:AO16"/>
    <mergeCell ref="AJ17:AK18"/>
    <mergeCell ref="AL17:AM18"/>
    <mergeCell ref="AN17:AO18"/>
    <mergeCell ref="AJ11:AK12"/>
    <mergeCell ref="AL11:AM12"/>
    <mergeCell ref="AN11:AO12"/>
    <mergeCell ref="AJ13:AK14"/>
    <mergeCell ref="AL13:AM14"/>
    <mergeCell ref="AN13:AO14"/>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47:AK48"/>
    <mergeCell ref="AL47:AM48"/>
    <mergeCell ref="AN47:AO48"/>
    <mergeCell ref="AJ49:AK50"/>
    <mergeCell ref="AL49:AM50"/>
    <mergeCell ref="AN49:AO50"/>
    <mergeCell ref="AJ43:AK44"/>
    <mergeCell ref="AL43:AM44"/>
    <mergeCell ref="AN43:AO44"/>
    <mergeCell ref="AJ45:AK46"/>
    <mergeCell ref="AL45:AM46"/>
    <mergeCell ref="AN45:AO46"/>
    <mergeCell ref="P23:Q24"/>
    <mergeCell ref="L25:M26"/>
    <mergeCell ref="N25:O26"/>
    <mergeCell ref="P25:Q26"/>
    <mergeCell ref="L19:M20"/>
    <mergeCell ref="N19:O20"/>
    <mergeCell ref="P19:Q20"/>
    <mergeCell ref="L21:M22"/>
    <mergeCell ref="N21:O22"/>
    <mergeCell ref="P21:Q22"/>
    <mergeCell ref="R23:S24"/>
    <mergeCell ref="T23:U24"/>
    <mergeCell ref="V23:W24"/>
    <mergeCell ref="R25:S26"/>
    <mergeCell ref="T25:U26"/>
    <mergeCell ref="V25:W26"/>
    <mergeCell ref="R19:S20"/>
    <mergeCell ref="T19:U20"/>
    <mergeCell ref="V19:W20"/>
    <mergeCell ref="R21:S22"/>
    <mergeCell ref="T21:U22"/>
    <mergeCell ref="V21:W22"/>
    <mergeCell ref="L31:M32"/>
    <mergeCell ref="N31:O32"/>
    <mergeCell ref="P31:Q32"/>
    <mergeCell ref="L33:M34"/>
    <mergeCell ref="N33:O34"/>
    <mergeCell ref="P33:Q34"/>
    <mergeCell ref="L27:M28"/>
    <mergeCell ref="N27:O28"/>
    <mergeCell ref="P27:Q28"/>
    <mergeCell ref="L29:M30"/>
    <mergeCell ref="N29:O30"/>
    <mergeCell ref="P29:Q30"/>
    <mergeCell ref="R31:S32"/>
    <mergeCell ref="T31:U32"/>
    <mergeCell ref="V31:W32"/>
    <mergeCell ref="R33:S34"/>
    <mergeCell ref="T33:U34"/>
    <mergeCell ref="V33:W34"/>
    <mergeCell ref="R27:S28"/>
    <mergeCell ref="T27:U28"/>
    <mergeCell ref="V27:W28"/>
    <mergeCell ref="R29:S30"/>
    <mergeCell ref="T29:U30"/>
    <mergeCell ref="V29:W30"/>
    <mergeCell ref="X31:Y32"/>
    <mergeCell ref="Z31:AA32"/>
    <mergeCell ref="AB31:AC32"/>
    <mergeCell ref="X33:Y34"/>
    <mergeCell ref="Z33:AA34"/>
    <mergeCell ref="AB33:AC34"/>
    <mergeCell ref="X27:Y28"/>
    <mergeCell ref="Z27:AA28"/>
    <mergeCell ref="AB27:AC28"/>
    <mergeCell ref="X29:Y30"/>
    <mergeCell ref="Z29:AA30"/>
    <mergeCell ref="AB29:AC30"/>
    <mergeCell ref="X39:Y40"/>
    <mergeCell ref="Z39:AA40"/>
    <mergeCell ref="AB39:AC40"/>
    <mergeCell ref="X41:Y42"/>
    <mergeCell ref="Z41:AA42"/>
    <mergeCell ref="AB41:AC42"/>
    <mergeCell ref="X35:Y36"/>
    <mergeCell ref="Z35:AA36"/>
    <mergeCell ref="AB35:AC36"/>
    <mergeCell ref="X37:Y38"/>
    <mergeCell ref="Z37:AA38"/>
    <mergeCell ref="AB37:AC38"/>
    <mergeCell ref="R39:S40"/>
    <mergeCell ref="T39:U40"/>
    <mergeCell ref="V39:W40"/>
    <mergeCell ref="R41:S42"/>
    <mergeCell ref="T41:U42"/>
    <mergeCell ref="V41:W42"/>
    <mergeCell ref="R35:S36"/>
    <mergeCell ref="T35:U36"/>
    <mergeCell ref="V35:W36"/>
    <mergeCell ref="R37:S38"/>
    <mergeCell ref="T37:U38"/>
    <mergeCell ref="V37:W38"/>
    <mergeCell ref="X47:Y48"/>
    <mergeCell ref="Z47:AA48"/>
    <mergeCell ref="AB47:AC48"/>
    <mergeCell ref="X49:Y50"/>
    <mergeCell ref="Z49:AA50"/>
    <mergeCell ref="AB49:AC50"/>
    <mergeCell ref="X43:Y44"/>
    <mergeCell ref="Z43:AA44"/>
    <mergeCell ref="AB43:AC44"/>
    <mergeCell ref="X45:Y46"/>
    <mergeCell ref="Z45:AA46"/>
    <mergeCell ref="AB45:AC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1" width="5.7109375" customWidth="1"/>
    <col min="12" max="12" width="12" customWidth="1"/>
    <col min="13" max="19" width="5.7109375" customWidth="1"/>
    <col min="20" max="20" width="6.7109375" customWidth="1"/>
    <col min="21" max="22" width="5.7109375" customWidth="1"/>
    <col min="23" max="23" width="9.7109375" customWidth="1"/>
    <col min="24" max="24" width="8.85546875" customWidth="1"/>
    <col min="25" max="26" width="10.28515625" customWidth="1"/>
    <col min="27" max="27" width="5.7109375" customWidth="1"/>
    <col min="28" max="29" width="10.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424" t="s">
        <v>251</v>
      </c>
      <c r="D2" s="425"/>
      <c r="E2" s="425"/>
      <c r="F2" s="425"/>
      <c r="G2" s="425"/>
      <c r="H2" s="425"/>
      <c r="I2" s="425"/>
      <c r="J2" s="426"/>
      <c r="K2" s="415" t="s">
        <v>205</v>
      </c>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7"/>
      <c r="AO2" s="276" t="s">
        <v>375</v>
      </c>
      <c r="AP2" s="412"/>
      <c r="AQ2" s="412"/>
      <c r="AR2" s="412"/>
      <c r="AS2" s="412"/>
      <c r="AT2" s="412"/>
      <c r="AU2" s="265"/>
    </row>
    <row r="3" spans="1:92" x14ac:dyDescent="0.25">
      <c r="C3" s="427"/>
      <c r="D3" s="428"/>
      <c r="E3" s="428"/>
      <c r="F3" s="428"/>
      <c r="G3" s="428"/>
      <c r="H3" s="428"/>
      <c r="I3" s="428"/>
      <c r="J3" s="429"/>
      <c r="K3" s="418"/>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420"/>
      <c r="AO3" s="277" t="s">
        <v>264</v>
      </c>
      <c r="AP3" s="413"/>
      <c r="AQ3" s="413"/>
      <c r="AR3" s="413"/>
      <c r="AS3" s="413"/>
      <c r="AT3" s="413"/>
      <c r="AU3" s="267"/>
    </row>
    <row r="4" spans="1:92" x14ac:dyDescent="0.25">
      <c r="C4" s="427"/>
      <c r="D4" s="428"/>
      <c r="E4" s="428"/>
      <c r="F4" s="428"/>
      <c r="G4" s="428"/>
      <c r="H4" s="428"/>
      <c r="I4" s="428"/>
      <c r="J4" s="429"/>
      <c r="K4" s="418"/>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20"/>
      <c r="AO4" s="277" t="s">
        <v>387</v>
      </c>
      <c r="AP4" s="413" t="s">
        <v>263</v>
      </c>
      <c r="AQ4" s="413"/>
      <c r="AR4" s="413"/>
      <c r="AS4" s="413"/>
      <c r="AT4" s="413"/>
      <c r="AU4" s="267"/>
    </row>
    <row r="5" spans="1:92" ht="15.75" thickBot="1" x14ac:dyDescent="0.3">
      <c r="C5" s="430"/>
      <c r="D5" s="431"/>
      <c r="E5" s="431"/>
      <c r="F5" s="431"/>
      <c r="G5" s="431"/>
      <c r="H5" s="431"/>
      <c r="I5" s="431"/>
      <c r="J5" s="432"/>
      <c r="K5" s="421"/>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M5" s="422"/>
      <c r="AN5" s="423"/>
      <c r="AO5" s="278" t="s">
        <v>245</v>
      </c>
      <c r="AP5" s="414" t="s">
        <v>245</v>
      </c>
      <c r="AQ5" s="414"/>
      <c r="AR5" s="414"/>
      <c r="AS5" s="414"/>
      <c r="AT5" s="414"/>
      <c r="AU5" s="269"/>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472" t="s">
        <v>266</v>
      </c>
      <c r="B8" s="472"/>
      <c r="C8" s="502" t="s">
        <v>156</v>
      </c>
      <c r="D8" s="503"/>
      <c r="E8" s="503"/>
      <c r="F8" s="503"/>
      <c r="G8" s="503"/>
      <c r="H8" s="503"/>
      <c r="I8" s="503"/>
      <c r="J8" s="503"/>
      <c r="K8" s="504" t="s">
        <v>2</v>
      </c>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504"/>
      <c r="AK8" s="504"/>
      <c r="AL8" s="504"/>
      <c r="AM8" s="504"/>
      <c r="AN8" s="504"/>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503"/>
      <c r="D9" s="503"/>
      <c r="E9" s="503"/>
      <c r="F9" s="503"/>
      <c r="G9" s="503"/>
      <c r="H9" s="503"/>
      <c r="I9" s="503"/>
      <c r="J9" s="503"/>
      <c r="K9" s="504"/>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503"/>
      <c r="D10" s="503"/>
      <c r="E10" s="503"/>
      <c r="F10" s="503"/>
      <c r="G10" s="503"/>
      <c r="H10" s="503"/>
      <c r="I10" s="503"/>
      <c r="J10" s="503"/>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433" t="s">
        <v>4</v>
      </c>
      <c r="D12" s="433"/>
      <c r="E12" s="434"/>
      <c r="F12" s="473" t="s">
        <v>115</v>
      </c>
      <c r="G12" s="474"/>
      <c r="H12" s="474"/>
      <c r="I12" s="474"/>
      <c r="J12" s="474"/>
      <c r="K12" s="32" t="str">
        <f>IF(AND('Mapa final'!$AL$15="Muy Alta",'Mapa final'!$AN$15="Leve"),CONCATENATE("R2C",'Mapa final'!$U$15),"")</f>
        <v/>
      </c>
      <c r="L12" s="33" t="str">
        <f>IF(AND('Mapa final'!$AL$16="Muy Alta",'Mapa final'!$AN$16="Leve"),CONCATENATE("R2C",'Mapa final'!$U$16),"")</f>
        <v/>
      </c>
      <c r="M12" s="33" t="str">
        <f>IF(AND('Mapa final'!$AL$17="Muy Alta",'Mapa final'!$AN$17="Leve"),CONCATENATE("R2C",'Mapa final'!$U$17),"")</f>
        <v/>
      </c>
      <c r="N12" s="33" t="str">
        <f>IF(AND('Mapa final'!$AL$18="Muy Alta",'Mapa final'!$AN$18="Leve"),CONCATENATE("R2C",'Mapa final'!$U$18),"")</f>
        <v/>
      </c>
      <c r="O12" s="33" t="str">
        <f>IF(AND('Mapa final'!$AL$19="Muy Alta",'Mapa final'!$AN$19="Leve"),CONCATENATE("R2C",'Mapa final'!$U$19),"")</f>
        <v/>
      </c>
      <c r="P12" s="34" t="str">
        <f>IF(AND('Mapa final'!$AL$20="Muy Alta",'Mapa final'!$AN$20="Leve"),CONCATENATE("R2C",'Mapa final'!$U$20),"")</f>
        <v/>
      </c>
      <c r="Q12" s="33" t="str">
        <f>IF(AND('Mapa final'!$AL$15="Muy Alta",'Mapa final'!$AN$15="Menor"),CONCATENATE("R2C",'Mapa final'!$U$15),"")</f>
        <v/>
      </c>
      <c r="R12" s="33" t="str">
        <f>IF(AND('Mapa final'!$AL$16="Muy Alta",'Mapa final'!$AN$16="Menore"),CONCATENATE("R2C",'Mapa final'!$U$16),"")</f>
        <v/>
      </c>
      <c r="S12" s="33" t="str">
        <f>IF(AND('Mapa final'!$AL$17="Muy Alta",'Mapa final'!$AN$17="Menor"),CONCATENATE("R2C",'Mapa final'!$U$17),"")</f>
        <v/>
      </c>
      <c r="T12" s="33" t="str">
        <f>IF(AND('Mapa final'!$AL$18="Muy Alta",'Mapa final'!$AN$18="Menor"),CONCATENATE("R2C",'Mapa final'!$U$18),"")</f>
        <v/>
      </c>
      <c r="U12" s="33" t="str">
        <f>IF(AND('Mapa final'!$AL$19="Muy Alta",'Mapa final'!$AN$19="Menor"),CONCATENATE("R2C",'Mapa final'!$U$19),"")</f>
        <v/>
      </c>
      <c r="V12" s="34" t="str">
        <f>IF(AND('Mapa final'!$AL$20="Muy Alta",'Mapa final'!$AN$20="Menor"),CONCATENATE("R2C",'Mapa final'!$U$20),"")</f>
        <v/>
      </c>
      <c r="W12" s="32" t="str">
        <f>IF(AND('Mapa final'!$AL$15="Muy Alta",'Mapa final'!$AN$15="Moderado"),CONCATENATE("R2C",'Mapa final'!$U$15),"")</f>
        <v/>
      </c>
      <c r="X12" s="33" t="str">
        <f>IF(AND('Mapa final'!$AL$16="Muy Alta",'Mapa final'!$AN$16="Moderado"),CONCATENATE("R2C",'Mapa final'!$U$16),"")</f>
        <v/>
      </c>
      <c r="Y12" s="33"/>
      <c r="Z12" s="33" t="str">
        <f>IF(AND('Mapa final'!$AL$18="Muy Alta",'Mapa final'!$AN$18="Moderado"),CONCATENATE("R2C",'Mapa final'!$U$18),"")</f>
        <v/>
      </c>
      <c r="AA12" s="33" t="str">
        <f>IF(AND('Mapa final'!$AL$19="Muy Alta",'Mapa final'!$AN$19="Moderado"),CONCATENATE("R2C",'Mapa final'!$U$19),"")</f>
        <v/>
      </c>
      <c r="AB12" s="34" t="str">
        <f>IF(AND('Mapa final'!$AL$20="Muy Alta",'Mapa final'!$AN$20="Moderado"),CONCATENATE("R2C",'Mapa final'!$U$20),"")</f>
        <v/>
      </c>
      <c r="AC12" s="32" t="str">
        <f>IF(AND('Mapa final'!$AL$15="Muy Alta",'Mapa final'!$AN$15="Mayor"),CONCATENATE("R2C",'Mapa final'!$U$15),"")</f>
        <v/>
      </c>
      <c r="AD12" s="33" t="str">
        <f>IF(AND('Mapa final'!$AL$16="Muy Alta",'Mapa final'!$AN$16="Mayor"),CONCATENATE("R2C",'Mapa final'!$U$16),"")</f>
        <v/>
      </c>
      <c r="AE12" s="33" t="str">
        <f>IF(AND('Mapa final'!$AL$17="Muy Alta",'Mapa final'!$AN$17="Mayor"),CONCATENATE("R2C",'Mapa final'!$U$17),"")</f>
        <v/>
      </c>
      <c r="AF12" s="33" t="str">
        <f>IF(AND('Mapa final'!$AL$18="Muy Alta",'Mapa final'!$AN$18="Mayor"),CONCATENATE("R2C",'Mapa final'!$U$18),"")</f>
        <v/>
      </c>
      <c r="AG12" s="33" t="str">
        <f>IF(AND('Mapa final'!$AL$19="Muy Alta",'Mapa final'!$AN$19="Mayor"),CONCATENATE("R2C",'Mapa final'!$U$19),"")</f>
        <v/>
      </c>
      <c r="AH12" s="34" t="str">
        <f>IF(AND('Mapa final'!$AL$20="Muy Alta",'Mapa final'!$AN$20="Mayor"),CONCATENATE("R2C",'Mapa final'!$U$20),"")</f>
        <v/>
      </c>
      <c r="AI12" s="35" t="str">
        <f>IF(AND('Mapa final'!$AL$15="Muy Alta",'Mapa final'!$AN$15="Catastrófico"),CONCATENATE("R2C",'Mapa final'!$U$15),"")</f>
        <v/>
      </c>
      <c r="AJ12" s="36" t="str">
        <f>IF(AND('Mapa final'!$AL$16="Muy Alta",'Mapa final'!$AN$16="Catastrófico"),CONCATENATE("R2C",'Mapa final'!$U$16),"")</f>
        <v/>
      </c>
      <c r="AK12" s="36" t="str">
        <f>IF(AND('Mapa final'!$AL$17="Muy Alta",'Mapa final'!$AN$17="Catastrófico"),CONCATENATE("R2C",'Mapa final'!$U$17),"")</f>
        <v/>
      </c>
      <c r="AL12" s="36" t="str">
        <f>IF(AND('Mapa final'!$AL$18="Muy Alta",'Mapa final'!$AN$18="Catastrófico"),CONCATENATE("R2C",'Mapa final'!$U$18),"")</f>
        <v/>
      </c>
      <c r="AM12" s="36" t="str">
        <f>IF(AND('Mapa final'!$AL$19="Muy Alta",'Mapa final'!$AN$19="Catastrófico"),CONCATENATE("R2C",'Mapa final'!$U$19),"")</f>
        <v/>
      </c>
      <c r="AN12" s="37" t="str">
        <f>IF(AND('Mapa final'!$AL$20="Muy Alta",'Mapa final'!$AN$20="Catastrófico"),CONCATENATE("R2C",'Mapa final'!$U$20),"")</f>
        <v/>
      </c>
      <c r="AO12" s="69"/>
      <c r="AP12" s="493" t="s">
        <v>78</v>
      </c>
      <c r="AQ12" s="494"/>
      <c r="AR12" s="494"/>
      <c r="AS12" s="494"/>
      <c r="AT12" s="494"/>
      <c r="AU12" s="495"/>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433"/>
      <c r="D13" s="433"/>
      <c r="E13" s="434"/>
      <c r="F13" s="476"/>
      <c r="G13" s="477"/>
      <c r="H13" s="477"/>
      <c r="I13" s="477"/>
      <c r="J13" s="477"/>
      <c r="K13" s="38" t="str">
        <f>IF(AND('Mapa final'!$AL$23="Muy Alta",'Mapa final'!$AN$23="Leve"),CONCATENATE("R2C",'Mapa final'!$U$23),"")</f>
        <v/>
      </c>
      <c r="L13" s="39" t="str">
        <f>IF(AND('Mapa final'!$AL$24="Muy Alta",'Mapa final'!$AN$24="Leve"),CONCATENATE("R2C",'Mapa final'!$U$24),"")</f>
        <v/>
      </c>
      <c r="M13" s="39" t="str">
        <f>IF(AND('Mapa final'!$AL$25="Muy Alta",'Mapa final'!$AN$25="Leve"),CONCATENATE("R2C",'Mapa final'!$U$25),"")</f>
        <v/>
      </c>
      <c r="N13" s="39" t="str">
        <f>IF(AND('Mapa final'!$AL$26="Muy Alta",'Mapa final'!$AN$26="Leve"),CONCATENATE("R2C",'Mapa final'!$U$26),"")</f>
        <v/>
      </c>
      <c r="O13" s="39" t="str">
        <f>IF(AND('Mapa final'!$AL$27="Muy Alta",'Mapa final'!$AN$27="Leve"),CONCATENATE("R2C",'Mapa final'!$U$27),"")</f>
        <v/>
      </c>
      <c r="P13" s="40" t="str">
        <f>IF(AND('Mapa final'!$AL$28="Muy Alta",'Mapa final'!$AN$28="Leve"),CONCATENATE("R2C",'Mapa final'!$U$28),"")</f>
        <v/>
      </c>
      <c r="Q13" s="39" t="str">
        <f>IF(AND('Mapa final'!$AL$23="Muy Alta",'Mapa final'!$AN$23="Menor"),CONCATENATE("R2C",'Mapa final'!$U$23),"")</f>
        <v/>
      </c>
      <c r="R13" s="39" t="str">
        <f>IF(AND('Mapa final'!$AL$24="Muy Alta",'Mapa final'!$AN$24="Menor"),CONCATENATE("R2C",'Mapa final'!$U$24),"")</f>
        <v/>
      </c>
      <c r="S13" s="39" t="str">
        <f>IF(AND('Mapa final'!$AL$25="Muy Alta",'Mapa final'!$AN$25="Menor"),CONCATENATE("R2C",'Mapa final'!$U$25),"")</f>
        <v/>
      </c>
      <c r="T13" s="39" t="str">
        <f>IF(AND('Mapa final'!$AL$26="Muy Alta",'Mapa final'!$AN$26="Menor"),CONCATENATE("R2C",'Mapa final'!$U$26),"")</f>
        <v/>
      </c>
      <c r="U13" s="39" t="str">
        <f>IF(AND('Mapa final'!$AL$27="Muy Alta",'Mapa final'!$AN$27="Menor"),CONCATENATE("R2C",'Mapa final'!$U$27),"")</f>
        <v/>
      </c>
      <c r="V13" s="40" t="str">
        <f>IF(AND('Mapa final'!$AL$28="Muy Alta",'Mapa final'!$AN$28="Menor"),CONCATENATE("R2C",'Mapa final'!$U$28),"")</f>
        <v/>
      </c>
      <c r="W13" s="38" t="str">
        <f>IF(AND('Mapa final'!$AL$23="Muy Alta",'Mapa final'!$AN$23="Moderado"),CONCATENATE("R2C",'Mapa final'!$U$23),"")</f>
        <v/>
      </c>
      <c r="X13" s="39" t="str">
        <f>IF(AND('Mapa final'!$AL$24="Muy Alta",'Mapa final'!$AN$24="Moderado"),CONCATENATE("R2C",'Mapa final'!$U$24),"")</f>
        <v/>
      </c>
      <c r="Y13" s="39" t="str">
        <f>IF(AND('Mapa final'!$AL$25="Muy Alta",'Mapa final'!$AN$25="Moderado"),CONCATENATE("R2C",'Mapa final'!$U$25),"")</f>
        <v/>
      </c>
      <c r="Z13" s="39" t="str">
        <f>IF(AND('Mapa final'!$AL$26="Muy Alta",'Mapa final'!$AN$26="Moderado"),CONCATENATE("R2C",'Mapa final'!$U$26),"")</f>
        <v/>
      </c>
      <c r="AA13" s="39" t="str">
        <f>IF(AND('Mapa final'!$AL$27="Muy Alta",'Mapa final'!$AN$27="Moderado"),CONCATENATE("R2C",'Mapa final'!$U$27),"")</f>
        <v/>
      </c>
      <c r="AB13" s="40" t="str">
        <f>IF(AND('Mapa final'!$AL$28="Muy Alta",'Mapa final'!$AN$28="Moderado"),CONCATENATE("R2C",'Mapa final'!$U$28),"")</f>
        <v/>
      </c>
      <c r="AC13" s="38" t="str">
        <f>IF(AND('Mapa final'!$AL$23="Muy Alta",'Mapa final'!$AN$23="Mayor"),CONCATENATE("R2C",'Mapa final'!$U$23),"")</f>
        <v/>
      </c>
      <c r="AD13" s="39" t="str">
        <f>IF(AND('Mapa final'!$AL$24="Muy Alta",'Mapa final'!$AN$24="Mayor"),CONCATENATE("R2C",'Mapa final'!$U$24),"")</f>
        <v/>
      </c>
      <c r="AE13" s="39" t="str">
        <f>IF(AND('Mapa final'!$AL$25="Muy Alta",'Mapa final'!$AN$25="Mayor"),CONCATENATE("R2C",'Mapa final'!$U$25),"")</f>
        <v/>
      </c>
      <c r="AF13" s="39" t="str">
        <f>IF(AND('Mapa final'!$AL$26="Muy Alta",'Mapa final'!$AN$26="Mayor"),CONCATENATE("R2C",'Mapa final'!$U$26),"")</f>
        <v/>
      </c>
      <c r="AG13" s="39" t="str">
        <f>IF(AND('Mapa final'!$AL$27="Muy Alta",'Mapa final'!$AN$27="Mayor"),CONCATENATE("R2C",'Mapa final'!$U$27),"")</f>
        <v/>
      </c>
      <c r="AH13" s="40" t="str">
        <f>IF(AND('Mapa final'!$AL$28="Muy Alta",'Mapa final'!$AN$28="Mayor"),CONCATENATE("R2C",'Mapa final'!$U$28),"")</f>
        <v/>
      </c>
      <c r="AI13" s="41" t="str">
        <f>IF(AND('Mapa final'!$AL$23="Muy Alta",'Mapa final'!$AN$23="Catastrófico"),CONCATENATE("R2C",'Mapa final'!$U$23),"")</f>
        <v/>
      </c>
      <c r="AJ13" s="42" t="str">
        <f>IF(AND('Mapa final'!$AL$24="Muy Alta",'Mapa final'!$AN$24="Catastrófico"),CONCATENATE("R2C",'Mapa final'!$U$24),"")</f>
        <v/>
      </c>
      <c r="AK13" s="42" t="str">
        <f>IF(AND('Mapa final'!$AL$25="Muy Alta",'Mapa final'!$AN$25="Catastrófico"),CONCATENATE("R2C",'Mapa final'!$U$25),"")</f>
        <v/>
      </c>
      <c r="AL13" s="42" t="str">
        <f>IF(AND('Mapa final'!$AL$26="Muy Alta",'Mapa final'!$AN$26="Catastrófico"),CONCATENATE("R2C",'Mapa final'!$U$26),"")</f>
        <v/>
      </c>
      <c r="AM13" s="42" t="str">
        <f>IF(AND('Mapa final'!$AL$27="Muy Alta",'Mapa final'!$AN$27="Catastrófico"),CONCATENATE("R2C",'Mapa final'!$U$27),"")</f>
        <v/>
      </c>
      <c r="AN13" s="43" t="str">
        <f>IF(AND('Mapa final'!$AL$28="Muy Alta",'Mapa final'!$AN$28="Catastrófico"),CONCATENATE("R2C",'Mapa final'!$U$28),"")</f>
        <v/>
      </c>
      <c r="AO13" s="69"/>
      <c r="AP13" s="496"/>
      <c r="AQ13" s="497"/>
      <c r="AR13" s="497"/>
      <c r="AS13" s="497"/>
      <c r="AT13" s="497"/>
      <c r="AU13" s="498"/>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433"/>
      <c r="D14" s="433"/>
      <c r="E14" s="434"/>
      <c r="F14" s="476"/>
      <c r="G14" s="477"/>
      <c r="H14" s="477"/>
      <c r="I14" s="477"/>
      <c r="J14" s="477"/>
      <c r="K14" s="38" t="str">
        <f>IF(AND('Mapa final'!$AL$29="Muy Alta",'Mapa final'!$AN$29="Leve"),CONCATENATE("R2C",'Mapa final'!$U$29),"")</f>
        <v/>
      </c>
      <c r="L14" s="39" t="str">
        <f>IF(AND('Mapa final'!$AL$30="Muy Alta",'Mapa final'!$AN$30="Leve"),CONCATENATE("R2C",'Mapa final'!$U$30),"")</f>
        <v/>
      </c>
      <c r="M14" s="39" t="str">
        <f>IF(AND('Mapa final'!$AL$31="Muy Alta",'Mapa final'!$AN$31="Leve"),CONCATENATE("R2C",'Mapa final'!$U$31),"")</f>
        <v/>
      </c>
      <c r="N14" s="39" t="str">
        <f>IF(AND('Mapa final'!$AL$32="Muy Alta",'Mapa final'!$AN$32="Leve"),CONCATENATE("R2C",'Mapa final'!$U$32),"")</f>
        <v/>
      </c>
      <c r="O14" s="39" t="str">
        <f>IF(AND('Mapa final'!$AL$33="Muy Alta",'Mapa final'!$AN$33="Leve"),CONCATENATE("R2C",'Mapa final'!$U$33),"")</f>
        <v/>
      </c>
      <c r="P14" s="40" t="str">
        <f>IF(AND('Mapa final'!$AL$34="Muy Alta",'Mapa final'!$AN$34="Leve"),CONCATENATE("R2C",'Mapa final'!$U$34),"")</f>
        <v/>
      </c>
      <c r="Q14" s="39" t="str">
        <f>IF(AND('Mapa final'!$AL$29="Muy Alta",'Mapa final'!$AN$29="Menor"),CONCATENATE("R2C",'Mapa final'!$U$29),"")</f>
        <v/>
      </c>
      <c r="R14" s="39" t="str">
        <f>IF(AND('Mapa final'!$AL$30="Muy Alta",'Mapa final'!$AN$30="Menor"),CONCATENATE("R2C",'Mapa final'!$U$30),"")</f>
        <v/>
      </c>
      <c r="S14" s="39" t="str">
        <f>IF(AND('Mapa final'!$AL$31="Muy Alta",'Mapa final'!$AN$31="Menor"),CONCATENATE("R2C",'Mapa final'!$U$31),"")</f>
        <v/>
      </c>
      <c r="T14" s="39" t="str">
        <f>IF(AND('Mapa final'!$AL$32="Muy Alta",'Mapa final'!$AN$32="Menor"),CONCATENATE("R2C",'Mapa final'!$U$32),"")</f>
        <v/>
      </c>
      <c r="U14" s="39" t="str">
        <f>IF(AND('Mapa final'!$AL$33="Muy Alta",'Mapa final'!$AN$33="Menor"),CONCATENATE("R2C",'Mapa final'!$U$33),"")</f>
        <v/>
      </c>
      <c r="V14" s="40" t="str">
        <f>IF(AND('Mapa final'!$AL$34="Muy Alta",'Mapa final'!$AN$34="Menor"),CONCATENATE("R2C",'Mapa final'!$U$34),"")</f>
        <v/>
      </c>
      <c r="W14" s="38" t="str">
        <f>IF(AND('Mapa final'!$AL$29="Muy Alta",'Mapa final'!$AN$29="Moderado"),CONCATENATE("R2C",'Mapa final'!$U$29),"")</f>
        <v/>
      </c>
      <c r="X14" s="39" t="str">
        <f>IF(AND('Mapa final'!$AL$30="Muy Alta",'Mapa final'!$AN$30="Moderado"),CONCATENATE("R2C",'Mapa final'!$U$30),"")</f>
        <v/>
      </c>
      <c r="Y14" s="39" t="str">
        <f>IF(AND('Mapa final'!$AL$31="Muy Alta",'Mapa final'!$AN$31="Moderado"),CONCATENATE("R2C",'Mapa final'!$U$31),"")</f>
        <v/>
      </c>
      <c r="Z14" s="39" t="str">
        <f>IF(AND('Mapa final'!$AL$32="Muy Alta",'Mapa final'!$AN$32="Moderado"),CONCATENATE("R2C",'Mapa final'!$U$32),"")</f>
        <v/>
      </c>
      <c r="AA14" s="39" t="str">
        <f>IF(AND('Mapa final'!$AL$33="Muy Alta",'Mapa final'!$AN$33="Moderado"),CONCATENATE("R2C",'Mapa final'!$U$33),"")</f>
        <v/>
      </c>
      <c r="AB14" s="40" t="str">
        <f>IF(AND('Mapa final'!$AL$34="Muy Alta",'Mapa final'!$AN$34="Moderado"),CONCATENATE("R2C",'Mapa final'!$U$34),"")</f>
        <v/>
      </c>
      <c r="AC14" s="38" t="str">
        <f>IF(AND('Mapa final'!$AL$29="Muy Alta",'Mapa final'!$AN$29="Mayor"),CONCATENATE("R2C",'Mapa final'!$U$29),"")</f>
        <v/>
      </c>
      <c r="AD14" s="39" t="str">
        <f>IF(AND('Mapa final'!$AL$30="Muy Alta",'Mapa final'!$AN$30="Mayor"),CONCATENATE("R2C",'Mapa final'!$U$30),"")</f>
        <v/>
      </c>
      <c r="AE14" s="39" t="str">
        <f>IF(AND('Mapa final'!$AL$31="Muy Alta",'Mapa final'!$AN$31="Mayor"),CONCATENATE("R2C",'Mapa final'!$U$31),"")</f>
        <v/>
      </c>
      <c r="AF14" s="39" t="str">
        <f>IF(AND('Mapa final'!$AL$32="Muy Alta",'Mapa final'!$AN$32="Mayor"),CONCATENATE("R2C",'Mapa final'!$U$32),"")</f>
        <v/>
      </c>
      <c r="AG14" s="39" t="str">
        <f>IF(AND('Mapa final'!$AL$33="Muy Alta",'Mapa final'!$AN$33="Mayor"),CONCATENATE("R2C",'Mapa final'!$U$33),"")</f>
        <v/>
      </c>
      <c r="AH14" s="40" t="str">
        <f>IF(AND('Mapa final'!$AL$34="Muy Alta",'Mapa final'!$AN$34="Mayor"),CONCATENATE("R2C",'Mapa final'!$U$34),"")</f>
        <v/>
      </c>
      <c r="AI14" s="41" t="str">
        <f>IF(AND('Mapa final'!$AL$29="Muy Alta",'Mapa final'!$AN$29="Catastrófico"),CONCATENATE("R2C",'Mapa final'!$U$29),"")</f>
        <v/>
      </c>
      <c r="AJ14" s="42" t="str">
        <f>IF(AND('Mapa final'!$AL$30="Muy Alta",'Mapa final'!$AN$30="Catastrófico"),CONCATENATE("R2C",'Mapa final'!$U$30),"")</f>
        <v/>
      </c>
      <c r="AK14" s="42" t="str">
        <f>IF(AND('Mapa final'!$AL$31="Muy Alta",'Mapa final'!$AN$31="Catastrófico"),CONCATENATE("R2C",'Mapa final'!$U$31),"")</f>
        <v/>
      </c>
      <c r="AL14" s="42" t="str">
        <f>IF(AND('Mapa final'!$AL$32="Muy Alta",'Mapa final'!$AN$32="Catastrófico"),CONCATENATE("R2C",'Mapa final'!$U$32),"")</f>
        <v/>
      </c>
      <c r="AM14" s="42" t="str">
        <f>IF(AND('Mapa final'!$AL$33="Muy Alta",'Mapa final'!$AN$33="Catastrófico"),CONCATENATE("R2C",'Mapa final'!$U$33),"")</f>
        <v/>
      </c>
      <c r="AN14" s="43" t="str">
        <f>IF(AND('Mapa final'!$AL$34="Muy Alta",'Mapa final'!$AN$34="Catastrófico"),CONCATENATE("R2C",'Mapa final'!$U$34),"")</f>
        <v/>
      </c>
      <c r="AO14" s="69"/>
      <c r="AP14" s="496"/>
      <c r="AQ14" s="497"/>
      <c r="AR14" s="497"/>
      <c r="AS14" s="497"/>
      <c r="AT14" s="497"/>
      <c r="AU14" s="498"/>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433"/>
      <c r="D15" s="433"/>
      <c r="E15" s="434"/>
      <c r="F15" s="476"/>
      <c r="G15" s="477"/>
      <c r="H15" s="477"/>
      <c r="I15" s="477"/>
      <c r="J15" s="477"/>
      <c r="K15" s="38" t="str">
        <f>IF(AND('Mapa final'!$AL$35="Muy Alta",'Mapa final'!$AN$35="Leve"),CONCATENATE("R2C",'Mapa final'!$U$35),"")</f>
        <v/>
      </c>
      <c r="L15" s="39" t="str">
        <f>IF(AND('Mapa final'!$AL$36="Muy Alta",'Mapa final'!$AN$36="Leve"),CONCATENATE("R2C",'Mapa final'!$U$36),"")</f>
        <v/>
      </c>
      <c r="M15" s="39" t="str">
        <f>IF(AND('Mapa final'!$AL$37="Muy Alta",'Mapa final'!$AN$37="Leve"),CONCATENATE("R2C",'Mapa final'!$U$37),"")</f>
        <v/>
      </c>
      <c r="N15" s="39" t="str">
        <f>IF(AND('Mapa final'!$AL$38="Muy Alta",'Mapa final'!$AN$38="Leve"),CONCATENATE("R2C",'Mapa final'!$U$38),"")</f>
        <v/>
      </c>
      <c r="O15" s="39" t="str">
        <f>IF(AND('Mapa final'!$AL$39="Muy Alta",'Mapa final'!$AN$39="Leve"),CONCATENATE("R2C",'Mapa final'!$U$39),"")</f>
        <v/>
      </c>
      <c r="P15" s="40" t="str">
        <f>IF(AND('Mapa final'!$AL$40="Muy Alta",'Mapa final'!$AN$40="Leve"),CONCATENATE("R2C",'Mapa final'!$U$40),"")</f>
        <v/>
      </c>
      <c r="Q15" s="39" t="str">
        <f>IF(AND('Mapa final'!$AL$35="Muy Alta",'Mapa final'!$AN$35="Menor"),CONCATENATE("R2C",'Mapa final'!$U$35),"")</f>
        <v/>
      </c>
      <c r="R15" s="39" t="str">
        <f>IF(AND('Mapa final'!$AL$36="Muy Alta",'Mapa final'!$AN$36="Menor"),CONCATENATE("R2C",'Mapa final'!$U$36),"")</f>
        <v/>
      </c>
      <c r="S15" s="39" t="str">
        <f>IF(AND('Mapa final'!$AL$37="Muy Alta",'Mapa final'!$AN$37="Menor"),CONCATENATE("R2C",'Mapa final'!$U$37),"")</f>
        <v/>
      </c>
      <c r="T15" s="39" t="str">
        <f>IF(AND('Mapa final'!$AL$38="Muy Alta",'Mapa final'!$AN$38="Menor"),CONCATENATE("R2C",'Mapa final'!$U$38),"")</f>
        <v/>
      </c>
      <c r="U15" s="39" t="str">
        <f>IF(AND('Mapa final'!$AL$39="Muy Alta",'Mapa final'!$AN$39="LMenor"),CONCATENATE("R2C",'Mapa final'!$U$39),"")</f>
        <v/>
      </c>
      <c r="V15" s="40" t="str">
        <f>IF(AND('Mapa final'!$AL$40="Muy Alta",'Mapa final'!$AN$40="Menor"),CONCATENATE("R2C",'Mapa final'!$U$40),"")</f>
        <v/>
      </c>
      <c r="W15" s="38" t="str">
        <f>IF(AND('Mapa final'!$AL$35="Muy Alta",'Mapa final'!$AN$35="Moderado"),CONCATENATE("R2C",'Mapa final'!$U$35),"")</f>
        <v/>
      </c>
      <c r="X15" s="39" t="str">
        <f>IF(AND('Mapa final'!$AL$36="Muy Alta",'Mapa final'!$AN$36="Moderado"),CONCATENATE("R2C",'Mapa final'!$U$36),"")</f>
        <v/>
      </c>
      <c r="Y15" s="39" t="str">
        <f>IF(AND('Mapa final'!$AL$37="Muy Alta",'Mapa final'!$AN$37="Moderado"),CONCATENATE("R2C",'Mapa final'!$U$37),"")</f>
        <v/>
      </c>
      <c r="Z15" s="39" t="str">
        <f>IF(AND('Mapa final'!$AL$38="Muy Alta",'Mapa final'!$AN$38="Moderado"),CONCATENATE("R2C",'Mapa final'!$U$38),"")</f>
        <v/>
      </c>
      <c r="AA15" s="39" t="str">
        <f>IF(AND('Mapa final'!$AL$39="Muy Alta",'Mapa final'!$AN$39="Moderado"),CONCATENATE("R2C",'Mapa final'!$U$39),"")</f>
        <v/>
      </c>
      <c r="AB15" s="40" t="str">
        <f>IF(AND('Mapa final'!$AL$40="Muy Alta",'Mapa final'!$AN$40="Moderado"),CONCATENATE("R2C",'Mapa final'!$U$40),"")</f>
        <v/>
      </c>
      <c r="AC15" s="38" t="str">
        <f>IF(AND('Mapa final'!$AL$35="Muy Alta",'Mapa final'!$AN$35="Mayor"),CONCATENATE("R2C",'Mapa final'!$U$35),"")</f>
        <v/>
      </c>
      <c r="AD15" s="39" t="str">
        <f>IF(AND('Mapa final'!$AL$36="Muy Alta",'Mapa final'!$AN$36="Mayor"),CONCATENATE("R2C",'Mapa final'!$U$36),"")</f>
        <v/>
      </c>
      <c r="AE15" s="39" t="str">
        <f>IF(AND('Mapa final'!$AL$37="Muy Alta",'Mapa final'!$AN$37="Mayor"),CONCATENATE("R2C",'Mapa final'!$U$37),"")</f>
        <v/>
      </c>
      <c r="AF15" s="39" t="str">
        <f>IF(AND('Mapa final'!$AL$38="Muy Alta",'Mapa final'!$AN$38="Mayor"),CONCATENATE("R2C",'Mapa final'!$U$38),"")</f>
        <v/>
      </c>
      <c r="AG15" s="39" t="str">
        <f>IF(AND('Mapa final'!$AL$39="Muy Alta",'Mapa final'!$AN$39="Mayor"),CONCATENATE("R2C",'Mapa final'!$U$39),"")</f>
        <v/>
      </c>
      <c r="AH15" s="40" t="str">
        <f>IF(AND('Mapa final'!$AL$40="Muy Alta",'Mapa final'!$AN$40="Mayor"),CONCATENATE("R2C",'Mapa final'!$U$40),"")</f>
        <v/>
      </c>
      <c r="AI15" s="41" t="str">
        <f>IF(AND('Mapa final'!$AL$35="Muy Alta",'Mapa final'!$AN$35="Catastrófico"),CONCATENATE("R2C",'Mapa final'!$U$35),"")</f>
        <v/>
      </c>
      <c r="AJ15" s="42" t="str">
        <f>IF(AND('Mapa final'!$AL$36="Muy Alta",'Mapa final'!$AN$36="Catastrófico"),CONCATENATE("R2C",'Mapa final'!$U$36),"")</f>
        <v/>
      </c>
      <c r="AK15" s="42" t="str">
        <f>IF(AND('Mapa final'!$AL$37="Muy Alta",'Mapa final'!$AN$37="Catastrófico"),CONCATENATE("R2C",'Mapa final'!$U$37),"")</f>
        <v/>
      </c>
      <c r="AL15" s="42" t="str">
        <f>IF(AND('Mapa final'!$AL$38="Muy Alta",'Mapa final'!$AN$38="Catastrófico"),CONCATENATE("R2C",'Mapa final'!$U$38),"")</f>
        <v/>
      </c>
      <c r="AM15" s="42" t="str">
        <f>IF(AND('Mapa final'!$AL$39="Muy Alta",'Mapa final'!$AN$39="LCatastrófico"),CONCATENATE("R2C",'Mapa final'!$U$39),"")</f>
        <v/>
      </c>
      <c r="AN15" s="43" t="str">
        <f>IF(AND('Mapa final'!$AL$40="Muy Alta",'Mapa final'!$AN$40="Catastrófico"),CONCATENATE("R2C",'Mapa final'!$U$40),"")</f>
        <v/>
      </c>
      <c r="AO15" s="69"/>
      <c r="AP15" s="496"/>
      <c r="AQ15" s="497"/>
      <c r="AR15" s="497"/>
      <c r="AS15" s="497"/>
      <c r="AT15" s="497"/>
      <c r="AU15" s="498"/>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433"/>
      <c r="D16" s="433"/>
      <c r="E16" s="434"/>
      <c r="F16" s="476"/>
      <c r="G16" s="477"/>
      <c r="H16" s="477"/>
      <c r="I16" s="477"/>
      <c r="J16" s="477"/>
      <c r="K16" s="38" t="str">
        <f>IF(AND('Mapa final'!$AL$41="Muy Alta",'Mapa final'!$AN$41="Leve"),CONCATENATE("R2C",'Mapa final'!$U$41),"")</f>
        <v/>
      </c>
      <c r="L16" s="39" t="str">
        <f>IF(AND('Mapa final'!$AL$42="Muy Alta",'Mapa final'!$AN$42="Leve"),CONCATENATE("R2C",'Mapa final'!$U$42),"")</f>
        <v/>
      </c>
      <c r="M16" s="39" t="str">
        <f>IF(AND('Mapa final'!$AL$43="Muy Alta",'Mapa final'!$AN$43="Leve"),CONCATENATE("R2C",'Mapa final'!$U$43),"")</f>
        <v/>
      </c>
      <c r="N16" s="39" t="str">
        <f>IF(AND('Mapa final'!$AL$44="Muy Alta",'Mapa final'!$AN$44="Leve"),CONCATENATE("R2C",'Mapa final'!$U$44),"")</f>
        <v/>
      </c>
      <c r="O16" s="39" t="str">
        <f>IF(AND('Mapa final'!$AL$45="Muy Alta",'Mapa final'!$AN$45="Leve"),CONCATENATE("R2C",'Mapa final'!$U$45),"")</f>
        <v/>
      </c>
      <c r="P16" s="40" t="str">
        <f>IF(AND('Mapa final'!$AL$46="Muy Alta",'Mapa final'!$AN$46="Leve"),CONCATENATE("R2C",'Mapa final'!$U$46),"")</f>
        <v/>
      </c>
      <c r="Q16" s="39" t="str">
        <f>IF(AND('Mapa final'!$AL$41="Muy Alta",'Mapa final'!$AN$41="Menor"),CONCATENATE("R2C",'Mapa final'!$U$41),"")</f>
        <v/>
      </c>
      <c r="R16" s="39" t="str">
        <f>IF(AND('Mapa final'!$AL$42="Muy Alta",'Mapa final'!$AN$42="Menor"),CONCATENATE("R2C",'Mapa final'!$U$42),"")</f>
        <v/>
      </c>
      <c r="S16" s="39" t="str">
        <f>IF(AND('Mapa final'!$AL$43="Muy Alta",'Mapa final'!$AN$43="Menor"),CONCATENATE("R2C",'Mapa final'!$U$43),"")</f>
        <v/>
      </c>
      <c r="T16" s="39" t="str">
        <f>IF(AND('Mapa final'!$AL$44="Muy Alta",'Mapa final'!$AN$44="Menor"),CONCATENATE("R2C",'Mapa final'!$U$44),"")</f>
        <v/>
      </c>
      <c r="U16" s="39" t="str">
        <f>IF(AND('Mapa final'!$AL$45="Muy Alta",'Mapa final'!$AN$45="Menor"),CONCATENATE("R2C",'Mapa final'!$U$45),"")</f>
        <v/>
      </c>
      <c r="V16" s="40" t="str">
        <f>IF(AND('Mapa final'!$AL$46="Muy Alta",'Mapa final'!$AN$46="Menor"),CONCATENATE("R2C",'Mapa final'!$U$46),"")</f>
        <v/>
      </c>
      <c r="W16" s="38" t="str">
        <f>IF(AND('Mapa final'!$AL$41="Muy Alta",'Mapa final'!$AN$41="Moderado"),CONCATENATE("R2C",'Mapa final'!$U$41),"")</f>
        <v/>
      </c>
      <c r="X16" s="39" t="str">
        <f>IF(AND('Mapa final'!$AL$42="Muy Alta",'Mapa final'!$AN$42="Moderado"),CONCATENATE("R2C",'Mapa final'!$U$42),"")</f>
        <v/>
      </c>
      <c r="Y16" s="39" t="str">
        <f>IF(AND('Mapa final'!$AL$43="Muy Alta",'Mapa final'!$AN$43="Moderado"),CONCATENATE("R2C",'Mapa final'!$U$43),"")</f>
        <v/>
      </c>
      <c r="Z16" s="39" t="str">
        <f>IF(AND('Mapa final'!$AL$44="Muy Alta",'Mapa final'!$AN$44="Moderado"),CONCATENATE("R2C",'Mapa final'!$U$44),"")</f>
        <v/>
      </c>
      <c r="AA16" s="39" t="str">
        <f>IF(AND('Mapa final'!$AL$45="Muy Alta",'Mapa final'!$AN$45="Moderado"),CONCATENATE("R2C",'Mapa final'!$U$45),"")</f>
        <v/>
      </c>
      <c r="AB16" s="40" t="str">
        <f>IF(AND('Mapa final'!$AL$46="Muy Alta",'Mapa final'!$AN$46="Moderado"),CONCATENATE("R2C",'Mapa final'!$U$46),"")</f>
        <v/>
      </c>
      <c r="AC16" s="38" t="str">
        <f>IF(AND('Mapa final'!$AL$41="Muy Alta",'Mapa final'!$AN$41="Mayor"),CONCATENATE("R2C",'Mapa final'!$U$41),"")</f>
        <v/>
      </c>
      <c r="AD16" s="39" t="str">
        <f>IF(AND('Mapa final'!$AL$42="Muy Alta",'Mapa final'!$AN$42="Mayor"),CONCATENATE("R2C",'Mapa final'!$U$42),"")</f>
        <v/>
      </c>
      <c r="AE16" s="39" t="str">
        <f>IF(AND('Mapa final'!$AL$43="Muy Alta",'Mapa final'!$AN$43="Mayor"),CONCATENATE("R2C",'Mapa final'!$U$43),"")</f>
        <v/>
      </c>
      <c r="AF16" s="39" t="str">
        <f>IF(AND('Mapa final'!$AL$44="Muy Alta",'Mapa final'!$AN$44="Mayor"),CONCATENATE("R2C",'Mapa final'!$U$44),"")</f>
        <v/>
      </c>
      <c r="AG16" s="39" t="str">
        <f>IF(AND('Mapa final'!$AL$45="Muy Alta",'Mapa final'!$AN$45="Mayor"),CONCATENATE("R2C",'Mapa final'!$U$45),"")</f>
        <v/>
      </c>
      <c r="AH16" s="40" t="str">
        <f>IF(AND('Mapa final'!$AL$46="Muy Alta",'Mapa final'!$AN$46="Mayor"),CONCATENATE("R2C",'Mapa final'!$U$46),"")</f>
        <v/>
      </c>
      <c r="AI16" s="41" t="str">
        <f>IF(AND('Mapa final'!$AL$41="Muy Alta",'Mapa final'!$AN$41="Catastrófico"),CONCATENATE("R2C",'Mapa final'!$U$41),"")</f>
        <v/>
      </c>
      <c r="AJ16" s="42" t="str">
        <f>IF(AND('Mapa final'!$AL$42="Muy Alta",'Mapa final'!$AN$42="Catastrófico"),CONCATENATE("R2C",'Mapa final'!$U$42),"")</f>
        <v/>
      </c>
      <c r="AK16" s="42" t="str">
        <f>IF(AND('Mapa final'!$AL$43="Muy Alta",'Mapa final'!$AN$43="Catastrófico"),CONCATENATE("R2C",'Mapa final'!$U$43),"")</f>
        <v/>
      </c>
      <c r="AL16" s="42" t="str">
        <f>IF(AND('Mapa final'!$AL$44="Muy Alta",'Mapa final'!$AN$44="Catastrófico"),CONCATENATE("R2C",'Mapa final'!$U$44),"")</f>
        <v/>
      </c>
      <c r="AM16" s="42" t="str">
        <f>IF(AND('Mapa final'!$AL$45="Muy Alta",'Mapa final'!$AN$45="Catastrófico"),CONCATENATE("R2C",'Mapa final'!$U$45),"")</f>
        <v/>
      </c>
      <c r="AN16" s="43" t="str">
        <f>IF(AND('Mapa final'!$AL$46="Muy Alta",'Mapa final'!$AN$46="Catastrófico"),CONCATENATE("R2C",'Mapa final'!$U$46),"")</f>
        <v/>
      </c>
      <c r="AO16" s="69"/>
      <c r="AP16" s="496"/>
      <c r="AQ16" s="497"/>
      <c r="AR16" s="497"/>
      <c r="AS16" s="497"/>
      <c r="AT16" s="497"/>
      <c r="AU16" s="498"/>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433"/>
      <c r="D17" s="433"/>
      <c r="E17" s="434"/>
      <c r="F17" s="476"/>
      <c r="G17" s="477"/>
      <c r="H17" s="477"/>
      <c r="I17" s="477"/>
      <c r="J17" s="477"/>
      <c r="K17" s="38" t="str">
        <f>IF(AND('Mapa final'!$AL$47="Muy Alta",'Mapa final'!$AN$47="Leve"),CONCATENATE("R2C",'Mapa final'!$U$47),"")</f>
        <v/>
      </c>
      <c r="L17" s="39" t="str">
        <f>IF(AND('Mapa final'!$AL$48="Muy Alta",'Mapa final'!$AN$48="Leve"),CONCATENATE("R2C",'Mapa final'!$U$48),"")</f>
        <v/>
      </c>
      <c r="M17" s="39" t="str">
        <f>IF(AND('Mapa final'!$AL$49="Muy Alta",'Mapa final'!$AN$49="Leve"),CONCATENATE("R2C",'Mapa final'!$U$49),"")</f>
        <v/>
      </c>
      <c r="N17" s="39" t="str">
        <f>IF(AND('Mapa final'!$AL$50="Muy Alta",'Mapa final'!$AN$50="Leve"),CONCATENATE("R2C",'Mapa final'!$U$50),"")</f>
        <v/>
      </c>
      <c r="O17" s="39" t="str">
        <f>IF(AND('Mapa final'!$AL$51="Muy Alta",'Mapa final'!$AN$51="Leve"),CONCATENATE("R2C",'Mapa final'!$U$51),"")</f>
        <v/>
      </c>
      <c r="P17" s="40" t="str">
        <f>IF(AND('Mapa final'!$AL$62="Muy Alta",'Mapa final'!$AN$52="Leve"),CONCATENATE("R2C",'Mapa final'!$U$52),"")</f>
        <v/>
      </c>
      <c r="Q17" s="39" t="str">
        <f>IF(AND('Mapa final'!$AL$47="Muy Alta",'Mapa final'!$AN$47="Menor"),CONCATENATE("R2C",'Mapa final'!$U$47),"")</f>
        <v/>
      </c>
      <c r="R17" s="39" t="str">
        <f>IF(AND('Mapa final'!$AL$48="Muy Alta",'Mapa final'!$AN$48="Menor"),CONCATENATE("R2C",'Mapa final'!$U$48),"")</f>
        <v/>
      </c>
      <c r="S17" s="39" t="str">
        <f>IF(AND('Mapa final'!$AL$49="Muy Alta",'Mapa final'!$AN$49="Menor"),CONCATENATE("R2C",'Mapa final'!$U$49),"")</f>
        <v/>
      </c>
      <c r="T17" s="39" t="str">
        <f>IF(AND('Mapa final'!$AL$50="Muy Alta",'Mapa final'!$AN$50="Menor"),CONCATENATE("R2C",'Mapa final'!$U$50),"")</f>
        <v/>
      </c>
      <c r="U17" s="39" t="str">
        <f>IF(AND('Mapa final'!$AL$51="Muy Alta",'Mapa final'!$AN$51="Menor"),CONCATENATE("R2C",'Mapa final'!$U$51),"")</f>
        <v/>
      </c>
      <c r="V17" s="40" t="str">
        <f>IF(AND('Mapa final'!$AL$62="Muy Alta",'Mapa final'!$AN$52="Menor"),CONCATENATE("R2C",'Mapa final'!$U$52),"")</f>
        <v/>
      </c>
      <c r="W17" s="38" t="str">
        <f>IF(AND('Mapa final'!$AL$47="Muy Alta",'Mapa final'!$AN$47="Moderado"),CONCATENATE("R2C",'Mapa final'!$U$47),"")</f>
        <v/>
      </c>
      <c r="X17" s="39" t="str">
        <f>IF(AND('Mapa final'!$AL$48="Muy Alta",'Mapa final'!$AN$48="Moderado"),CONCATENATE("R2C",'Mapa final'!$U$48),"")</f>
        <v/>
      </c>
      <c r="Y17" s="39" t="str">
        <f>IF(AND('Mapa final'!$AL$49="Muy Alta",'Mapa final'!$AN$49="Moderado"),CONCATENATE("R2C",'Mapa final'!$U$49),"")</f>
        <v/>
      </c>
      <c r="Z17" s="39" t="str">
        <f>IF(AND('Mapa final'!$AL$50="Muy Alta",'Mapa final'!$AN$50="Moderado"),CONCATENATE("R2C",'Mapa final'!$U$50),"")</f>
        <v/>
      </c>
      <c r="AA17" s="39" t="str">
        <f>IF(AND('Mapa final'!$AL$51="Muy Alta",'Mapa final'!$AN$51="Moderado"),CONCATENATE("R2C",'Mapa final'!$U$51),"")</f>
        <v/>
      </c>
      <c r="AB17" s="40" t="str">
        <f>IF(AND('Mapa final'!$AL$62="Muy Alta",'Mapa final'!$AN$52="Moderado"),CONCATENATE("R2C",'Mapa final'!$U$52),"")</f>
        <v/>
      </c>
      <c r="AC17" s="38" t="str">
        <f>IF(AND('Mapa final'!$AL$47="Muy Alta",'Mapa final'!$AN$47="Mayor"),CONCATENATE("R2C",'Mapa final'!$U$47),"")</f>
        <v/>
      </c>
      <c r="AD17" s="39" t="str">
        <f>IF(AND('Mapa final'!$AL$48="Muy Alta",'Mapa final'!$AN$48="Mayor"),CONCATENATE("R2C",'Mapa final'!$U$48),"")</f>
        <v/>
      </c>
      <c r="AE17" s="39" t="str">
        <f>IF(AND('Mapa final'!$AL$49="Muy Alta",'Mapa final'!$AN$49="Mayor"),CONCATENATE("R2C",'Mapa final'!$U$49),"")</f>
        <v/>
      </c>
      <c r="AF17" s="39" t="str">
        <f>IF(AND('Mapa final'!$AL$50="Muy Alta",'Mapa final'!$AN$50="Mayor"),CONCATENATE("R2C",'Mapa final'!$U$50),"")</f>
        <v/>
      </c>
      <c r="AG17" s="39" t="str">
        <f>IF(AND('Mapa final'!$AL$51="Muy Alta",'Mapa final'!$AN$51="Mayor"),CONCATENATE("R2C",'Mapa final'!$U$51),"")</f>
        <v/>
      </c>
      <c r="AH17" s="40" t="str">
        <f>IF(AND('Mapa final'!$AL$62="Muy Alta",'Mapa final'!$AN$52="Mayor"),CONCATENATE("R2C",'Mapa final'!$U$52),"")</f>
        <v/>
      </c>
      <c r="AI17" s="41" t="str">
        <f>IF(AND('Mapa final'!$AL$47="Muy Alta",'Mapa final'!$AN$47="Catastrófico"),CONCATENATE("R2C",'Mapa final'!$U$47),"")</f>
        <v/>
      </c>
      <c r="AJ17" s="42" t="str">
        <f>IF(AND('Mapa final'!$AL$48="Muy Alta",'Mapa final'!$AN$48="Catastrófico"),CONCATENATE("R2C",'Mapa final'!$U$48),"")</f>
        <v/>
      </c>
      <c r="AK17" s="42" t="str">
        <f>IF(AND('Mapa final'!$AL$49="Muy Alta",'Mapa final'!$AN$49="Catastrófico"),CONCATENATE("R2C",'Mapa final'!$U$49),"")</f>
        <v/>
      </c>
      <c r="AL17" s="42" t="str">
        <f>IF(AND('Mapa final'!$AL$50="Muy Alta",'Mapa final'!$AN$50="Catastrófico"),CONCATENATE("R2C",'Mapa final'!$U$50),"")</f>
        <v/>
      </c>
      <c r="AM17" s="42" t="str">
        <f>IF(AND('Mapa final'!$AL$51="Muy Alta",'Mapa final'!$AN$51="Catastrófico"),CONCATENATE("R2C",'Mapa final'!$U$51),"")</f>
        <v/>
      </c>
      <c r="AN17" s="43" t="str">
        <f>IF(AND('Mapa final'!$AL$62="Muy Alta",'Mapa final'!$AN$52="Catastrófico"),CONCATENATE("R2C",'Mapa final'!$U$52),"")</f>
        <v/>
      </c>
      <c r="AO17" s="69"/>
      <c r="AP17" s="496"/>
      <c r="AQ17" s="497"/>
      <c r="AR17" s="497"/>
      <c r="AS17" s="497"/>
      <c r="AT17" s="497"/>
      <c r="AU17" s="498"/>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433"/>
      <c r="D18" s="433"/>
      <c r="E18" s="434"/>
      <c r="F18" s="476"/>
      <c r="G18" s="477"/>
      <c r="H18" s="477"/>
      <c r="I18" s="477"/>
      <c r="J18" s="477"/>
      <c r="K18" s="38" t="str">
        <f>IF(AND('Mapa final'!$AL$53="Muy Alta",'Mapa final'!$AN$53="Leve"),CONCATENATE("R2C",'Mapa final'!$U$53),"")</f>
        <v/>
      </c>
      <c r="L18" s="39" t="str">
        <f>IF(AND('Mapa final'!$AL$54="Muy Alta",'Mapa final'!$AN$54="Leve"),CONCATENATE("R2C",'Mapa final'!$U$54),"")</f>
        <v/>
      </c>
      <c r="M18" s="39" t="str">
        <f>IF(AND('Mapa final'!$AL$55="Muy Alta",'Mapa final'!$AN$55="Leve"),CONCATENATE("R2C",'Mapa final'!$U$55),"")</f>
        <v/>
      </c>
      <c r="N18" s="39" t="str">
        <f>IF(AND('Mapa final'!$AL$56="Muy Alta",'Mapa final'!$AN$56="Leve"),CONCATENATE("R2C",'Mapa final'!$U$56),"")</f>
        <v/>
      </c>
      <c r="O18" s="39" t="str">
        <f>IF(AND('Mapa final'!$AL$57="Muy Alta",'Mapa final'!$AN$57="Leve"),CONCATENATE("R2C",'Mapa final'!$U$57),"")</f>
        <v/>
      </c>
      <c r="P18" s="40" t="str">
        <f>IF(AND('Mapa final'!$AL$58="Muy Alta",'Mapa final'!$AN$58="Leve"),CONCATENATE("R2C",'Mapa final'!$U$58),"")</f>
        <v/>
      </c>
      <c r="Q18" s="39" t="str">
        <f>IF(AND('Mapa final'!$AL$53="Muy Alta",'Mapa final'!$AN$53="Menor"),CONCATENATE("R2C",'Mapa final'!$U$53),"")</f>
        <v/>
      </c>
      <c r="R18" s="39" t="str">
        <f>IF(AND('Mapa final'!$AL$54="Muy Alta",'Mapa final'!$AN$54="Menor"),CONCATENATE("R2C",'Mapa final'!$U$54),"")</f>
        <v/>
      </c>
      <c r="S18" s="39" t="str">
        <f>IF(AND('Mapa final'!$AL$55="Muy Alta",'Mapa final'!$AN$55="Menor"),CONCATENATE("R2C",'Mapa final'!$U$55),"")</f>
        <v/>
      </c>
      <c r="T18" s="39" t="str">
        <f>IF(AND('Mapa final'!$AL$56="Muy Alta",'Mapa final'!$AN$56="Menor"),CONCATENATE("R2C",'Mapa final'!$U$56),"")</f>
        <v/>
      </c>
      <c r="U18" s="39" t="str">
        <f>IF(AND('Mapa final'!$AL$57="Muy Alta",'Mapa final'!$AN$57="Menor"),CONCATENATE("R2C",'Mapa final'!$U$57),"")</f>
        <v/>
      </c>
      <c r="V18" s="40" t="str">
        <f>IF(AND('Mapa final'!$AL$58="Muy Alta",'Mapa final'!$AN$58="Menor"),CONCATENATE("R2C",'Mapa final'!$U$58),"")</f>
        <v/>
      </c>
      <c r="W18" s="38" t="str">
        <f>IF(AND('Mapa final'!$AL$53="Muy Alta",'Mapa final'!$AN$53="Moderado"),CONCATENATE("R2C",'Mapa final'!$U$53),"")</f>
        <v/>
      </c>
      <c r="X18" s="39" t="str">
        <f>IF(AND('Mapa final'!$AL$54="Muy Alta",'Mapa final'!$AN$54="Moderado"),CONCATENATE("R2C",'Mapa final'!$U$54),"")</f>
        <v/>
      </c>
      <c r="Y18" s="39" t="str">
        <f>IF(AND('Mapa final'!$AL$55="Muy Alta",'Mapa final'!$AN$55="Moderado"),CONCATENATE("R2C",'Mapa final'!$U$55),"")</f>
        <v/>
      </c>
      <c r="Z18" s="39" t="str">
        <f>IF(AND('Mapa final'!$AL$56="Muy Alta",'Mapa final'!$AN$56="Moderado"),CONCATENATE("R2C",'Mapa final'!$U$56),"")</f>
        <v/>
      </c>
      <c r="AA18" s="39" t="str">
        <f>IF(AND('Mapa final'!$AL$57="Muy Alta",'Mapa final'!$AN$57="Moderado"),CONCATENATE("R2C",'Mapa final'!$U$57),"")</f>
        <v/>
      </c>
      <c r="AB18" s="40" t="str">
        <f>IF(AND('Mapa final'!$AL$58="Muy Alta",'Mapa final'!$AN$58="Moderado"),CONCATENATE("R2C",'Mapa final'!$U$58),"")</f>
        <v/>
      </c>
      <c r="AC18" s="38" t="str">
        <f>IF(AND('Mapa final'!$AL$53="Muy Alta",'Mapa final'!$AN$53="Mayor"),CONCATENATE("R2C",'Mapa final'!$U$53),"")</f>
        <v/>
      </c>
      <c r="AD18" s="39" t="str">
        <f>IF(AND('Mapa final'!$AL$54="Muy Alta",'Mapa final'!$AN$54="Mayor"),CONCATENATE("R2C",'Mapa final'!$U$54),"")</f>
        <v/>
      </c>
      <c r="AE18" s="39" t="str">
        <f>IF(AND('Mapa final'!$AL$55="Muy Alta",'Mapa final'!$AN$55="Mayor"),CONCATENATE("R2C",'Mapa final'!$U$55),"")</f>
        <v/>
      </c>
      <c r="AF18" s="39" t="str">
        <f>IF(AND('Mapa final'!$AL$56="Muy Alta",'Mapa final'!$AN$56="Mayor"),CONCATENATE("R2C",'Mapa final'!$U$56),"")</f>
        <v/>
      </c>
      <c r="AG18" s="39" t="str">
        <f>IF(AND('Mapa final'!$AL$57="Muy Alta",'Mapa final'!$AN$57="Mayor"),CONCATENATE("R2C",'Mapa final'!$U$57),"")</f>
        <v/>
      </c>
      <c r="AH18" s="40" t="str">
        <f>IF(AND('Mapa final'!$AL$58="Muy Alta",'Mapa final'!$AN$58="Mayor"),CONCATENATE("R2C",'Mapa final'!$U$58),"")</f>
        <v/>
      </c>
      <c r="AI18" s="41" t="str">
        <f>IF(AND('Mapa final'!$AL$53="Muy Alta",'Mapa final'!$AN$53="Catastrófico"),CONCATENATE("R2C",'Mapa final'!$U$53),"")</f>
        <v/>
      </c>
      <c r="AJ18" s="42" t="str">
        <f>IF(AND('Mapa final'!$AL$54="Muy Alta",'Mapa final'!$AN$54="Catastrófico"),CONCATENATE("R2C",'Mapa final'!$U$54),"")</f>
        <v/>
      </c>
      <c r="AK18" s="42" t="str">
        <f>IF(AND('Mapa final'!$AL$55="Muy Alta",'Mapa final'!$AN$55="Catastrófico"),CONCATENATE("R2C",'Mapa final'!$U$55),"")</f>
        <v/>
      </c>
      <c r="AL18" s="42" t="str">
        <f>IF(AND('Mapa final'!$AL$56="Muy Alta",'Mapa final'!$AN$56="Catastrófico"),CONCATENATE("R2C",'Mapa final'!$U$56),"")</f>
        <v/>
      </c>
      <c r="AM18" s="42" t="str">
        <f>IF(AND('Mapa final'!$AL$57="Muy Alta",'Mapa final'!$AN$57="Catastrófico"),CONCATENATE("R2C",'Mapa final'!$U$57),"")</f>
        <v/>
      </c>
      <c r="AN18" s="43" t="str">
        <f>IF(AND('Mapa final'!$AL$58="Muy Alta",'Mapa final'!$AN$58="Catastrófico"),CONCATENATE("R2C",'Mapa final'!$U$58),"")</f>
        <v/>
      </c>
      <c r="AO18" s="69"/>
      <c r="AP18" s="496"/>
      <c r="AQ18" s="497"/>
      <c r="AR18" s="497"/>
      <c r="AS18" s="497"/>
      <c r="AT18" s="497"/>
      <c r="AU18" s="498"/>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433"/>
      <c r="D19" s="433"/>
      <c r="E19" s="434"/>
      <c r="F19" s="476"/>
      <c r="G19" s="477"/>
      <c r="H19" s="477"/>
      <c r="I19" s="477"/>
      <c r="J19" s="477"/>
      <c r="K19" s="38" t="str">
        <f>IF(AND('Mapa final'!$AL$59="Muy Alta",'Mapa final'!$AN$59="Leve"),CONCATENATE("R2C",'Mapa final'!$U$59),"")</f>
        <v/>
      </c>
      <c r="L19" s="39" t="str">
        <f>IF(AND('Mapa final'!$AL$60="Muy Alta",'Mapa final'!$AN$60="Leve"),CONCATENATE("R2C",'Mapa final'!$U$60),"")</f>
        <v/>
      </c>
      <c r="M19" s="39" t="str">
        <f>IF(AND('Mapa final'!$AL$61="Muy Alta",'Mapa final'!$AN$61="Leve"),CONCATENATE("R2C",'Mapa final'!$U$61),"")</f>
        <v/>
      </c>
      <c r="N19" s="39" t="str">
        <f>IF(AND('Mapa final'!$AL$62="Muy Alta",'Mapa final'!$AN$62="Leve"),CONCATENATE("R2C",'Mapa final'!$U$62),"")</f>
        <v/>
      </c>
      <c r="O19" s="39" t="str">
        <f>IF(AND('Mapa final'!$AL$63="Muy Alta",'Mapa final'!$AN$63="Leve"),CONCATENATE("R2C",'Mapa final'!$U$63),"")</f>
        <v/>
      </c>
      <c r="P19" s="40" t="str">
        <f>IF(AND('Mapa final'!$AL$64="Muy Alta",'Mapa final'!$AN$64="Leve"),CONCATENATE("R2C",'Mapa final'!$U$64),"")</f>
        <v/>
      </c>
      <c r="Q19" s="39" t="str">
        <f>IF(AND('Mapa final'!$AL$59="Muy Alta",'Mapa final'!$AN$59="Menor"),CONCATENATE("R2C",'Mapa final'!$U$59),"")</f>
        <v/>
      </c>
      <c r="R19" s="39" t="str">
        <f>IF(AND('Mapa final'!$AL$60="Muy Alta",'Mapa final'!$AN$60="Menor"),CONCATENATE("R2C",'Mapa final'!$U$60),"")</f>
        <v/>
      </c>
      <c r="S19" s="39" t="str">
        <f>IF(AND('Mapa final'!$AL$61="Muy Alta",'Mapa final'!$AN$61="Menor"),CONCATENATE("R2C",'Mapa final'!$U$61),"")</f>
        <v/>
      </c>
      <c r="T19" s="39" t="str">
        <f>IF(AND('Mapa final'!$AL$62="Muy Alta",'Mapa final'!$AN$62="Menor"),CONCATENATE("R2C",'Mapa final'!$U$62),"")</f>
        <v/>
      </c>
      <c r="U19" s="39" t="str">
        <f>IF(AND('Mapa final'!$AL$63="Muy Alta",'Mapa final'!$AN$63="Menor"),CONCATENATE("R2C",'Mapa final'!$U$63),"")</f>
        <v/>
      </c>
      <c r="V19" s="40" t="str">
        <f>IF(AND('Mapa final'!$AL$64="Muy Alta",'Mapa final'!$AN$64="Menor"),CONCATENATE("R2C",'Mapa final'!$U$64),"")</f>
        <v/>
      </c>
      <c r="W19" s="38" t="str">
        <f>IF(AND('Mapa final'!$AL$59="Muy Alta",'Mapa final'!$AN$59="Moderado"),CONCATENATE("R2C",'Mapa final'!$U$59),"")</f>
        <v/>
      </c>
      <c r="X19" s="39" t="str">
        <f>IF(AND('Mapa final'!$AL$60="Muy Alta",'Mapa final'!$AN$60="Moderado"),CONCATENATE("R2C",'Mapa final'!$U$60),"")</f>
        <v/>
      </c>
      <c r="Y19" s="39" t="str">
        <f>IF(AND('Mapa final'!$AL$61="Muy Alta",'Mapa final'!$AN$61="Moderado"),CONCATENATE("R2C",'Mapa final'!$U$61),"")</f>
        <v/>
      </c>
      <c r="Z19" s="39" t="str">
        <f>IF(AND('Mapa final'!$AL$62="Muy Alta",'Mapa final'!$AN$62="Moderado"),CONCATENATE("R2C",'Mapa final'!$U$62),"")</f>
        <v/>
      </c>
      <c r="AA19" s="39" t="str">
        <f>IF(AND('Mapa final'!$AL$63="Muy Alta",'Mapa final'!$AN$63="Moderado"),CONCATENATE("R2C",'Mapa final'!$U$63),"")</f>
        <v/>
      </c>
      <c r="AB19" s="40" t="str">
        <f>IF(AND('Mapa final'!$AL$64="Muy Alta",'Mapa final'!$AN$64="Moderado"),CONCATENATE("R2C",'Mapa final'!$U$64),"")</f>
        <v/>
      </c>
      <c r="AC19" s="38" t="str">
        <f>IF(AND('Mapa final'!$AL$59="Muy Alta",'Mapa final'!$AN$59="Mayor"),CONCATENATE("R2C",'Mapa final'!$U$59),"")</f>
        <v/>
      </c>
      <c r="AD19" s="39" t="str">
        <f>IF(AND('Mapa final'!$AL$60="Muy Alta",'Mapa final'!$AN$60="Mayor"),CONCATENATE("R2C",'Mapa final'!$U$60),"")</f>
        <v/>
      </c>
      <c r="AE19" s="39" t="str">
        <f>IF(AND('Mapa final'!$AL$61="Muy Alta",'Mapa final'!$AN$61="Mayor"),CONCATENATE("R2C",'Mapa final'!$U$61),"")</f>
        <v/>
      </c>
      <c r="AF19" s="39" t="str">
        <f>IF(AND('Mapa final'!$AL$62="Muy Alta",'Mapa final'!$AN$62="Mayor"),CONCATENATE("R2C",'Mapa final'!$U$62),"")</f>
        <v/>
      </c>
      <c r="AG19" s="39" t="str">
        <f>IF(AND('Mapa final'!$AL$63="Muy Alta",'Mapa final'!$AN$63="Mayor"),CONCATENATE("R2C",'Mapa final'!$U$63),"")</f>
        <v/>
      </c>
      <c r="AH19" s="40" t="str">
        <f>IF(AND('Mapa final'!$AL$64="Muy Alta",'Mapa final'!$AN$64="Mayor"),CONCATENATE("R2C",'Mapa final'!$U$64),"")</f>
        <v/>
      </c>
      <c r="AI19" s="41" t="str">
        <f>IF(AND('Mapa final'!$AL$59="Muy Alta",'Mapa final'!$AN$59="Catastrófico"),CONCATENATE("R2C",'Mapa final'!$U$59),"")</f>
        <v/>
      </c>
      <c r="AJ19" s="42" t="str">
        <f>IF(AND('Mapa final'!$AL$60="Muy Alta",'Mapa final'!$AN$60="Catastrófico"),CONCATENATE("R2C",'Mapa final'!$U$60),"")</f>
        <v/>
      </c>
      <c r="AK19" s="42" t="str">
        <f>IF(AND('Mapa final'!$AL$61="Muy Alta",'Mapa final'!$AN$61="Catastrófico"),CONCATENATE("R2C",'Mapa final'!$U$61),"")</f>
        <v/>
      </c>
      <c r="AL19" s="42" t="str">
        <f>IF(AND('Mapa final'!$AL$62="Muy Alta",'Mapa final'!$AN$62="Catastrófico"),CONCATENATE("R2C",'Mapa final'!$U$62),"")</f>
        <v/>
      </c>
      <c r="AM19" s="42" t="str">
        <f>IF(AND('Mapa final'!$AL$63="Muy Alta",'Mapa final'!$AN$63="Catastrófico"),CONCATENATE("R2C",'Mapa final'!$U$63),"")</f>
        <v/>
      </c>
      <c r="AN19" s="43" t="str">
        <f>IF(AND('Mapa final'!$AL$64="Muy Alta",'Mapa final'!$AN$64="Catastrófico"),CONCATENATE("R2C",'Mapa final'!$U$64),"")</f>
        <v/>
      </c>
      <c r="AO19" s="69"/>
      <c r="AP19" s="496"/>
      <c r="AQ19" s="497"/>
      <c r="AR19" s="497"/>
      <c r="AS19" s="497"/>
      <c r="AT19" s="497"/>
      <c r="AU19" s="498"/>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433"/>
      <c r="D20" s="433"/>
      <c r="E20" s="434"/>
      <c r="F20" s="476"/>
      <c r="G20" s="477"/>
      <c r="H20" s="477"/>
      <c r="I20" s="477"/>
      <c r="J20" s="477"/>
      <c r="K20" s="38" t="str">
        <f>IF(AND('Mapa final'!$AL$65="Muy Alta",'Mapa final'!$AN$65="Leve"),CONCATENATE("R2C",'Mapa final'!$U$65),"")</f>
        <v/>
      </c>
      <c r="L20" s="39" t="str">
        <f>IF(AND('Mapa final'!$AL$66="Muy Alta",'Mapa final'!$AN$66="Leve"),CONCATENATE("R2C",'Mapa final'!$U$66),"")</f>
        <v/>
      </c>
      <c r="M20" s="39" t="str">
        <f>IF(AND('Mapa final'!$AL$67="Muy Alta",'Mapa final'!$AN$67="Leve"),CONCATENATE("R2C",'Mapa final'!$U$67),"")</f>
        <v/>
      </c>
      <c r="N20" s="39" t="str">
        <f>IF(AND('Mapa final'!$AL$68="Muy Alta",'Mapa final'!$AN$68="Leve"),CONCATENATE("R2C",'Mapa final'!$U$68),"")</f>
        <v/>
      </c>
      <c r="O20" s="39" t="str">
        <f>IF(AND('Mapa final'!$AL$69="Muy Alta",'Mapa final'!$AN$69="Leve"),CONCATENATE("R2C",'Mapa final'!$U$69),"")</f>
        <v/>
      </c>
      <c r="P20" s="40" t="str">
        <f>IF(AND('Mapa final'!$AL$70="Muy Alta",'Mapa final'!$AN$70="Leve"),CONCATENATE("R2C",'Mapa final'!$U$70),"")</f>
        <v/>
      </c>
      <c r="Q20" s="39" t="str">
        <f>IF(AND('Mapa final'!$AL$65="Muy Alta",'Mapa final'!$AN$65="Menor"),CONCATENATE("R2C",'Mapa final'!$U$65),"")</f>
        <v/>
      </c>
      <c r="R20" s="39" t="str">
        <f>IF(AND('Mapa final'!$AL$66="Muy Alta",'Mapa final'!$AN$66="Menor"),CONCATENATE("R2C",'Mapa final'!$U$66),"")</f>
        <v/>
      </c>
      <c r="S20" s="39" t="str">
        <f>IF(AND('Mapa final'!$AL$67="Muy Alta",'Mapa final'!$AN$67="Menor"),CONCATENATE("R2C",'Mapa final'!$U$67),"")</f>
        <v/>
      </c>
      <c r="T20" s="39" t="str">
        <f>IF(AND('Mapa final'!$AL$68="Muy Alta",'Mapa final'!$AN$68="Menor"),CONCATENATE("R2C",'Mapa final'!$U$68),"")</f>
        <v/>
      </c>
      <c r="U20" s="39" t="str">
        <f>IF(AND('Mapa final'!$AL$69="Muy Alta",'Mapa final'!$AN$69="Menor"),CONCATENATE("R2C",'Mapa final'!$U$69),"")</f>
        <v/>
      </c>
      <c r="V20" s="40" t="str">
        <f>IF(AND('Mapa final'!$AL$70="Muy Alta",'Mapa final'!$AN$70="Menor"),CONCATENATE("R2C",'Mapa final'!$U$70),"")</f>
        <v/>
      </c>
      <c r="W20" s="38" t="str">
        <f>IF(AND('Mapa final'!$AL$65="Muy Alta",'Mapa final'!$AN$65="Moderado"),CONCATENATE("R2C",'Mapa final'!$U$65),"")</f>
        <v/>
      </c>
      <c r="X20" s="39" t="str">
        <f>IF(AND('Mapa final'!$AL$66="Muy Alta",'Mapa final'!$AN$66="Moderado"),CONCATENATE("R2C",'Mapa final'!$U$66),"")</f>
        <v/>
      </c>
      <c r="Y20" s="39" t="str">
        <f>IF(AND('Mapa final'!$AL$67="Muy Alta",'Mapa final'!$AN$67="Moderado"),CONCATENATE("R2C",'Mapa final'!$U$67),"")</f>
        <v/>
      </c>
      <c r="Z20" s="39" t="str">
        <f>IF(AND('Mapa final'!$AL$68="Muy Alta",'Mapa final'!$AN$68="Moderado"),CONCATENATE("R2C",'Mapa final'!$U$68),"")</f>
        <v/>
      </c>
      <c r="AA20" s="39" t="str">
        <f>IF(AND('Mapa final'!$AL$69="Muy Alta",'Mapa final'!$AN$69="Moderado"),CONCATENATE("R2C",'Mapa final'!$U$69),"")</f>
        <v/>
      </c>
      <c r="AB20" s="40" t="str">
        <f>IF(AND('Mapa final'!$AL$70="Muy Alta",'Mapa final'!$AN$70="Moderado"),CONCATENATE("R2C",'Mapa final'!$U$70),"")</f>
        <v/>
      </c>
      <c r="AC20" s="38" t="str">
        <f>IF(AND('Mapa final'!$AL$65="Muy Alta",'Mapa final'!$AN$65="Mayor"),CONCATENATE("R2C",'Mapa final'!$U$65),"")</f>
        <v/>
      </c>
      <c r="AD20" s="39" t="str">
        <f>IF(AND('Mapa final'!$AL$66="Muy Alta",'Mapa final'!$AN$66="Mayor"),CONCATENATE("R2C",'Mapa final'!$U$66),"")</f>
        <v/>
      </c>
      <c r="AE20" s="39" t="str">
        <f>IF(AND('Mapa final'!$AL$67="Muy Alta",'Mapa final'!$AN$67="Mayor"),CONCATENATE("R2C",'Mapa final'!$U$67),"")</f>
        <v/>
      </c>
      <c r="AF20" s="39" t="str">
        <f>IF(AND('Mapa final'!$AL$68="Muy Alta",'Mapa final'!$AN$68="Mayor"),CONCATENATE("R2C",'Mapa final'!$U$68),"")</f>
        <v/>
      </c>
      <c r="AG20" s="39" t="str">
        <f>IF(AND('Mapa final'!$AL$69="Muy Alta",'Mapa final'!$AN$69="Mayor"),CONCATENATE("R2C",'Mapa final'!$U$69),"")</f>
        <v/>
      </c>
      <c r="AH20" s="40" t="str">
        <f>IF(AND('Mapa final'!$AL$70="Muy Alta",'Mapa final'!$AN$70="Mayor"),CONCATENATE("R2C",'Mapa final'!$U$70),"")</f>
        <v/>
      </c>
      <c r="AI20" s="41" t="str">
        <f>IF(AND('Mapa final'!$AL$65="Muy Alta",'Mapa final'!$AN$65="Catastrófico"),CONCATENATE("R2C",'Mapa final'!$U$65),"")</f>
        <v/>
      </c>
      <c r="AJ20" s="42" t="str">
        <f>IF(AND('Mapa final'!$AL$66="Muy Alta",'Mapa final'!$AN$66="Catastrófico"),CONCATENATE("R2C",'Mapa final'!$U$66),"")</f>
        <v/>
      </c>
      <c r="AK20" s="42" t="str">
        <f>IF(AND('Mapa final'!$AL$67="Muy Alta",'Mapa final'!$AN$67="Catastrófico"),CONCATENATE("R2C",'Mapa final'!$U$67),"")</f>
        <v/>
      </c>
      <c r="AL20" s="42" t="str">
        <f>IF(AND('Mapa final'!$AL$68="Muy Alta",'Mapa final'!$AN$68="Catastrófico"),CONCATENATE("R2C",'Mapa final'!$U$68),"")</f>
        <v/>
      </c>
      <c r="AM20" s="42" t="str">
        <f>IF(AND('Mapa final'!$AL$69="Muy Alta",'Mapa final'!$AN$69="Catastrófico"),CONCATENATE("R2C",'Mapa final'!$U$69),"")</f>
        <v/>
      </c>
      <c r="AN20" s="43" t="str">
        <f>IF(AND('Mapa final'!$AL$70="Muy Alta",'Mapa final'!$AN$70="Catastrófico"),CONCATENATE("R2C",'Mapa final'!$U$70),"")</f>
        <v/>
      </c>
      <c r="AO20" s="69"/>
      <c r="AP20" s="496"/>
      <c r="AQ20" s="497"/>
      <c r="AR20" s="497"/>
      <c r="AS20" s="497"/>
      <c r="AT20" s="497"/>
      <c r="AU20" s="498"/>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433"/>
      <c r="D21" s="433"/>
      <c r="E21" s="434"/>
      <c r="F21" s="479"/>
      <c r="G21" s="480"/>
      <c r="H21" s="480"/>
      <c r="I21" s="480"/>
      <c r="J21" s="480"/>
      <c r="K21" s="44" t="str">
        <f>IF(AND('Mapa final'!$AL$71="Muy Alta",'Mapa final'!$AN$71="Leve"),CONCATENATE("R2C",'Mapa final'!$U$71),"")</f>
        <v/>
      </c>
      <c r="L21" s="45" t="str">
        <f>IF(AND('Mapa final'!$AL$72="Muy Alta",'Mapa final'!$AN$72="Leve"),CONCATENATE("R2C",'Mapa final'!$U$72),"")</f>
        <v/>
      </c>
      <c r="M21" s="45" t="str">
        <f>IF(AND('Mapa final'!$AL$73="Muy Alta",'Mapa final'!$AN$73="Leve"),CONCATENATE("R2C",'Mapa final'!$U$73),"")</f>
        <v/>
      </c>
      <c r="N21" s="45" t="str">
        <f>IF(AND('Mapa final'!$AL$74="Muy Alta",'Mapa final'!$AN$74="Leve"),CONCATENATE("R2C",'Mapa final'!$U$74),"")</f>
        <v/>
      </c>
      <c r="O21" s="45" t="str">
        <f>IF(AND('Mapa final'!$AL$76="Muy Alta",'Mapa final'!$AN$76="Leve"),CONCATENATE("R2C",'Mapa final'!$U$76),"")</f>
        <v/>
      </c>
      <c r="P21" s="46" t="str">
        <f>IF(AND('Mapa final'!$AL$77="Muy Alta",'Mapa final'!$AN$77="Leve"),CONCATENATE("R2C",'Mapa final'!$U$77),"")</f>
        <v/>
      </c>
      <c r="Q21" s="39" t="str">
        <f>IF(AND('Mapa final'!$AL$71="Muy Alta",'Mapa final'!$AN$71="Menor"),CONCATENATE("R2C",'Mapa final'!$U$71),"")</f>
        <v/>
      </c>
      <c r="R21" s="39" t="str">
        <f>IF(AND('Mapa final'!$AL$72="Muy Alta",'Mapa final'!$AN$72="Menor"),CONCATENATE("R2C",'Mapa final'!$U$72),"")</f>
        <v/>
      </c>
      <c r="S21" s="39" t="str">
        <f>IF(AND('Mapa final'!$AL$73="Muy Alta",'Mapa final'!$AN$73="Menor"),CONCATENATE("R2C",'Mapa final'!$U$73),"")</f>
        <v/>
      </c>
      <c r="T21" s="39" t="str">
        <f>IF(AND('Mapa final'!$AL$74="Muy Alta",'Mapa final'!$AN$74="Menor"),CONCATENATE("R2C",'Mapa final'!$U$74),"")</f>
        <v/>
      </c>
      <c r="U21" s="39" t="str">
        <f>IF(AND('Mapa final'!$AL$76="Muy Alta",'Mapa final'!$AN$76="Menor"),CONCATENATE("R2C",'Mapa final'!$U$76),"")</f>
        <v/>
      </c>
      <c r="V21" s="40" t="str">
        <f>IF(AND('Mapa final'!$AL$77="Muy Alta",'Mapa final'!$AN$77="Menor"),CONCATENATE("R2C",'Mapa final'!$U$77),"")</f>
        <v/>
      </c>
      <c r="W21" s="44" t="str">
        <f>IF(AND('Mapa final'!$AL$71="Muy Alta",'Mapa final'!$AN$71="Moderado"),CONCATENATE("R2C",'Mapa final'!$U$71),"")</f>
        <v/>
      </c>
      <c r="X21" s="45" t="str">
        <f>IF(AND('Mapa final'!$AL$72="Muy Alta",'Mapa final'!$AN$72="Moderado"),CONCATENATE("R2C",'Mapa final'!$U$72),"")</f>
        <v/>
      </c>
      <c r="Y21" s="45" t="str">
        <f>IF(AND('Mapa final'!$AL$73="Muy Alta",'Mapa final'!$AN$73="Moderado"),CONCATENATE("R2C",'Mapa final'!$U$73),"")</f>
        <v/>
      </c>
      <c r="Z21" s="45" t="str">
        <f>IF(AND('Mapa final'!$AL$74="Muy Alta",'Mapa final'!$AN$74="Moderado"),CONCATENATE("R2C",'Mapa final'!$U$74),"")</f>
        <v/>
      </c>
      <c r="AA21" s="45" t="str">
        <f>IF(AND('Mapa final'!$AL$76="Muy Alta",'Mapa final'!$AN$76="Moderado"),CONCATENATE("R2C",'Mapa final'!$U$76),"")</f>
        <v/>
      </c>
      <c r="AB21" s="46" t="str">
        <f>IF(AND('Mapa final'!$AL$77="Muy Alta",'Mapa final'!$AN$77="Moderado"),CONCATENATE("R2C",'Mapa final'!$U$77),"")</f>
        <v/>
      </c>
      <c r="AC21" s="38" t="str">
        <f>IF(AND('Mapa final'!$AL$71="Muy Alta",'Mapa final'!$AN$71="Mayor"),CONCATENATE("R2C",'Mapa final'!$U$71),"")</f>
        <v/>
      </c>
      <c r="AD21" s="39" t="str">
        <f>IF(AND('Mapa final'!$AL$72="Muy Alta",'Mapa final'!$AN$72="Mayor"),CONCATENATE("R2C",'Mapa final'!$U$72),"")</f>
        <v/>
      </c>
      <c r="AE21" s="39" t="str">
        <f>IF(AND('Mapa final'!$AL$73="Muy Alta",'Mapa final'!$AN$73="Mayor"),CONCATENATE("R2C",'Mapa final'!$U$73),"")</f>
        <v/>
      </c>
      <c r="AF21" s="39" t="str">
        <f>IF(AND('Mapa final'!$AL$74="Muy Alta",'Mapa final'!$AN$74="Mayor"),CONCATENATE("R2C",'Mapa final'!$U$74),"")</f>
        <v/>
      </c>
      <c r="AG21" s="39" t="str">
        <f>IF(AND('Mapa final'!$AL$76="Muy Alta",'Mapa final'!$AN$76="Mayor"),CONCATENATE("R2C",'Mapa final'!$U$76),"")</f>
        <v/>
      </c>
      <c r="AH21" s="40" t="str">
        <f>IF(AND('Mapa final'!$AL$77="Muy Alta",'Mapa final'!$AN$77="Mayor"),CONCATENATE("R2C",'Mapa final'!$U$77),"")</f>
        <v/>
      </c>
      <c r="AI21" s="47" t="str">
        <f>IF(AND('Mapa final'!$AL$71="Muy Alta",'Mapa final'!$AN$71="Catastrófico"),CONCATENATE("R2C",'Mapa final'!$U$71),"")</f>
        <v/>
      </c>
      <c r="AJ21" s="48" t="str">
        <f>IF(AND('Mapa final'!$AL$72="Muy Alta",'Mapa final'!$AN$72="Catastrófico"),CONCATENATE("R2C",'Mapa final'!$U$72),"")</f>
        <v/>
      </c>
      <c r="AK21" s="48" t="str">
        <f>IF(AND('Mapa final'!$AL$73="Muy Alta",'Mapa final'!$AN$73="Catastrófico"),CONCATENATE("R2C",'Mapa final'!$U$73),"")</f>
        <v/>
      </c>
      <c r="AL21" s="48" t="str">
        <f>IF(AND('Mapa final'!$AL$74="Muy Alta",'Mapa final'!$AN$74="Catastrófico"),CONCATENATE("R2C",'Mapa final'!$U$74),"")</f>
        <v/>
      </c>
      <c r="AM21" s="48" t="str">
        <f>IF(AND('Mapa final'!$AL$76="Muy Alta",'Mapa final'!$AN$76="Catastrófico"),CONCATENATE("R2C",'Mapa final'!$U$76),"")</f>
        <v/>
      </c>
      <c r="AN21" s="49" t="str">
        <f>IF(AND('Mapa final'!$AL$77="Muy Alta",'Mapa final'!$AN$77="Catastrófico"),CONCATENATE("R2C",'Mapa final'!$U$77),"")</f>
        <v/>
      </c>
      <c r="AO21" s="69"/>
      <c r="AP21" s="499"/>
      <c r="AQ21" s="500"/>
      <c r="AR21" s="500"/>
      <c r="AS21" s="500"/>
      <c r="AT21" s="500"/>
      <c r="AU21" s="501"/>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433"/>
      <c r="D22" s="433"/>
      <c r="E22" s="434"/>
      <c r="F22" s="473" t="s">
        <v>114</v>
      </c>
      <c r="G22" s="474"/>
      <c r="H22" s="474"/>
      <c r="I22" s="474"/>
      <c r="J22" s="474"/>
      <c r="K22" s="53" t="str">
        <f>IF(AND('Mapa final'!$AL$15="Alta",'Mapa final'!$AN$15="Leve"),CONCATENATE("R2C",'Mapa final'!$U$15),"")</f>
        <v/>
      </c>
      <c r="L22" s="54" t="str">
        <f>IF(AND('Mapa final'!$AL$16="Alta",'Mapa final'!$AN$16="Leve"),CONCATENATE("R2C",'Mapa final'!$U$16),"")</f>
        <v/>
      </c>
      <c r="M22" s="54" t="str">
        <f>IF(AND('Mapa final'!$AL$17="Alta",'Mapa final'!$AN$17="Leve"),CONCATENATE("R2C",'Mapa final'!$U$17),"")</f>
        <v/>
      </c>
      <c r="N22" s="54" t="str">
        <f>IF(AND('Mapa final'!$AL$18="Alta",'Mapa final'!$AN$18="Leve"),CONCATENATE("R2C",'Mapa final'!$U$18),"")</f>
        <v/>
      </c>
      <c r="O22" s="54" t="str">
        <f>IF(AND('Mapa final'!$AL$19="Alta",'Mapa final'!$AN$19="Leve"),CONCATENATE("R2C",'Mapa final'!$U$19),"")</f>
        <v/>
      </c>
      <c r="P22" s="55" t="str">
        <f>IF(AND('Mapa final'!$AL$20="Alta",'Mapa final'!$AN$20="Leve"),CONCATENATE("R2C",'Mapa final'!$U$20),"")</f>
        <v/>
      </c>
      <c r="Q22" s="50" t="str">
        <f>IF(AND('Mapa final'!$AL$15="Alta",'Mapa final'!$AN$15="Menor"),CONCATENATE("R2C",'Mapa final'!$U$15),"")</f>
        <v/>
      </c>
      <c r="R22" s="51" t="str">
        <f>IF(AND('Mapa final'!$AL$16="Alta",'Mapa final'!$AN$16="Menore"),CONCATENATE("R2C",'Mapa final'!$U$16),"")</f>
        <v/>
      </c>
      <c r="S22" s="51" t="str">
        <f>IF(AND('Mapa final'!$AL$17="Alta",'Mapa final'!$AN$17="Menor"),CONCATENATE("R2C",'Mapa final'!$U$17),"")</f>
        <v/>
      </c>
      <c r="T22" s="51" t="str">
        <f>IF(AND('Mapa final'!$AL$18="Alta",'Mapa final'!$AN$18="Menor"),CONCATENATE("R2C",'Mapa final'!$U$18),"")</f>
        <v/>
      </c>
      <c r="U22" s="51" t="str">
        <f>IF(AND('Mapa final'!$AL$19="Alta",'Mapa final'!$AN$19="Menor"),CONCATENATE("R2C",'Mapa final'!$U$19),"")</f>
        <v/>
      </c>
      <c r="V22" s="52" t="str">
        <f>IF(AND('Mapa final'!$AL$20="Alta",'Mapa final'!$AN$20="Menor"),CONCATENATE("R2C",'Mapa final'!$U$20),"")</f>
        <v/>
      </c>
      <c r="W22" s="32" t="str">
        <f>IF(AND('Mapa final'!$AL$15="Alta",'Mapa final'!$AN$15="Moderado"),CONCATENATE("R2C",'Mapa final'!$U$15),"")</f>
        <v/>
      </c>
      <c r="X22" s="33" t="str">
        <f>IF(AND('Mapa final'!$AL$16="Alta",'Mapa final'!$AN$16="Moderado"),CONCATENATE("R2C",'Mapa final'!$U$16),"")</f>
        <v/>
      </c>
      <c r="Y22" s="33"/>
      <c r="Z22" s="33" t="str">
        <f>IF(AND('Mapa final'!$AL$18="Alta",'Mapa final'!$AN$18="Moderado"),CONCATENATE("R2C",'Mapa final'!$U$18),"")</f>
        <v/>
      </c>
      <c r="AA22" s="33" t="str">
        <f>IF(AND('Mapa final'!$AL$19="Alta",'Mapa final'!$AN$19="Moderado"),CONCATENATE("R2C",'Mapa final'!$U$19),"")</f>
        <v/>
      </c>
      <c r="AB22" s="34" t="str">
        <f>IF(AND('Mapa final'!$AL$20="Alta",'Mapa final'!$AN$20="Moderado"),CONCATENATE("R2C",'Mapa final'!$U$20),"")</f>
        <v/>
      </c>
      <c r="AC22" s="32" t="str">
        <f>IF(AND('Mapa final'!$AL$15="Alta",'Mapa final'!$AN$15="Mayor"),CONCATENATE("R2C",'Mapa final'!$U$15),"")</f>
        <v/>
      </c>
      <c r="AD22" s="33" t="str">
        <f>IF(AND('Mapa final'!$AL$16="Alta",'Mapa final'!$AN$16="Mayor"),CONCATENATE("R2C",'Mapa final'!$U$16),"")</f>
        <v/>
      </c>
      <c r="AE22" s="33" t="str">
        <f>IF(AND('Mapa final'!$AL$17="Alta",'Mapa final'!$AN$17="Mayor"),CONCATENATE("R2C",'Mapa final'!$D$17),"")</f>
        <v/>
      </c>
      <c r="AF22" s="33" t="str">
        <f>IF(AND('Mapa final'!$AL$18="Alta",'Mapa final'!$AN$18="Mayor"),CONCATENATE("R2C",'Mapa final'!$U$18),"")</f>
        <v/>
      </c>
      <c r="AG22" s="33" t="str">
        <f>IF(AND('Mapa final'!$AL$19="Alta",'Mapa final'!$AN$19="Mayor"),CONCATENATE("R2C",'Mapa final'!$U$19),"")</f>
        <v/>
      </c>
      <c r="AH22" s="34" t="str">
        <f>IF(AND('Mapa final'!$AL$20="Alta",'Mapa final'!$AN$20="Mayor"),CONCATENATE("R2C",'Mapa final'!$U$20),"")</f>
        <v/>
      </c>
      <c r="AI22" s="35" t="str">
        <f>IF(AND('Mapa final'!$AL$15="Alta",'Mapa final'!$AN$15="Catastrófico"),CONCATENATE("R2C",'Mapa final'!$U$15),"")</f>
        <v/>
      </c>
      <c r="AJ22" s="36" t="str">
        <f>IF(AND('Mapa final'!$AL$16="Alta",'Mapa final'!$AN$16="Catastrófico"),CONCATENATE("R2C",'Mapa final'!$U$16),"")</f>
        <v/>
      </c>
      <c r="AK22" s="36" t="str">
        <f>IF(AND('Mapa final'!$AL$17="Alta",'Mapa final'!$AN$17="Catastrófico"),CONCATENATE("R2C",'Mapa final'!$U$17),"")</f>
        <v/>
      </c>
      <c r="AL22" s="36" t="str">
        <f>IF(AND('Mapa final'!$AL$18="Alta",'Mapa final'!$AN$18="Catastrófico"),CONCATENATE("R2C",'Mapa final'!$U$18),"")</f>
        <v/>
      </c>
      <c r="AM22" s="36" t="str">
        <f>IF(AND('Mapa final'!$AL$19="Alta",'Mapa final'!$AN$19="Catastrófico"),CONCATENATE("R2C",'Mapa final'!$U$19),"")</f>
        <v/>
      </c>
      <c r="AN22" s="37" t="str">
        <f>IF(AND('Mapa final'!$AL$20="Alta",'Mapa final'!$AN$20="Catastrófico"),CONCATENATE("R2C",'Mapa final'!$U$20),"")</f>
        <v/>
      </c>
      <c r="AO22" s="69"/>
      <c r="AP22" s="483" t="s">
        <v>79</v>
      </c>
      <c r="AQ22" s="484"/>
      <c r="AR22" s="484"/>
      <c r="AS22" s="484"/>
      <c r="AT22" s="484"/>
      <c r="AU22" s="485"/>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433"/>
      <c r="D23" s="433"/>
      <c r="E23" s="434"/>
      <c r="F23" s="492"/>
      <c r="G23" s="477"/>
      <c r="H23" s="477"/>
      <c r="I23" s="477"/>
      <c r="J23" s="477"/>
      <c r="K23" s="53" t="str">
        <f>IF(AND('Mapa final'!$AL$23="Alta",'Mapa final'!$AN$23="Leve"),CONCATENATE("R2C",'Mapa final'!$U$23),"")</f>
        <v/>
      </c>
      <c r="L23" s="54" t="str">
        <f>IF(AND('Mapa final'!$AL$24="Alta",'Mapa final'!$AN$24="Leve"),CONCATENATE("R2C",'Mapa final'!$U$24),"")</f>
        <v/>
      </c>
      <c r="M23" s="54" t="str">
        <f>IF(AND('Mapa final'!$AL$25="Alta",'Mapa final'!$AN$25="Leve"),CONCATENATE("R2C",'Mapa final'!$U$25),"")</f>
        <v/>
      </c>
      <c r="N23" s="54" t="str">
        <f>IF(AND('Mapa final'!$AL$26="Alta",'Mapa final'!$AN$26="Leve"),CONCATENATE("R2C",'Mapa final'!$U$26),"")</f>
        <v/>
      </c>
      <c r="O23" s="54" t="str">
        <f>IF(AND('Mapa final'!$AL$27="Alta",'Mapa final'!$AN$27="Leve"),CONCATENATE("R2C",'Mapa final'!$U$27),"")</f>
        <v/>
      </c>
      <c r="P23" s="55" t="str">
        <f>IF(AND('Mapa final'!$AL$28="Alta",'Mapa final'!$AN$28="Leve"),CONCATENATE("R2C",'Mapa final'!$U$28),"")</f>
        <v/>
      </c>
      <c r="Q23" s="53" t="str">
        <f>IF(AND('Mapa final'!$AL$23="Alta",'Mapa final'!$AN$23="Menor"),CONCATENATE("R2C",'Mapa final'!$U$23),"")</f>
        <v/>
      </c>
      <c r="R23" s="54" t="str">
        <f>IF(AND('Mapa final'!$AL$24="Alta",'Mapa final'!$AN$24="Menor"),CONCATENATE("R2C",'Mapa final'!$U$24),"")</f>
        <v/>
      </c>
      <c r="S23" s="54" t="str">
        <f>IF(AND('Mapa final'!$AL$25="Alta",'Mapa final'!$AN$25="Menor"),CONCATENATE("R2C",'Mapa final'!$U$25),"")</f>
        <v/>
      </c>
      <c r="T23" s="54" t="str">
        <f>IF(AND('Mapa final'!$AL$26="Alta",'Mapa final'!$AN$26="Menor"),CONCATENATE("R2C",'Mapa final'!$U$26),"")</f>
        <v/>
      </c>
      <c r="U23" s="54" t="str">
        <f>IF(AND('Mapa final'!$AL$27="Alta",'Mapa final'!$AN$27="Menor"),CONCATENATE("R2C",'Mapa final'!$U$27),"")</f>
        <v/>
      </c>
      <c r="V23" s="55" t="str">
        <f>IF(AND('Mapa final'!$AL$28="Alta",'Mapa final'!$AN$28="Menor"),CONCATENATE("R2C",'Mapa final'!$U$28),"")</f>
        <v/>
      </c>
      <c r="W23" s="38" t="str">
        <f>IF(AND('Mapa final'!$AL$23="Alta",'Mapa final'!$AN$23="Moderado"),CONCATENATE("R2C",'Mapa final'!$U$23),"")</f>
        <v/>
      </c>
      <c r="X23" s="39" t="str">
        <f>IF(AND('Mapa final'!$AL$24="Alta",'Mapa final'!$AN$24="Moderado"),CONCATENATE("R2C",'Mapa final'!$U$24),"")</f>
        <v/>
      </c>
      <c r="Y23" s="39" t="str">
        <f>IF(AND('Mapa final'!$AL$25="Alta",'Mapa final'!$AN$25="Moderado"),CONCATENATE("R2C",'Mapa final'!$U$25),"")</f>
        <v/>
      </c>
      <c r="Z23" s="39" t="str">
        <f>IF(AND('Mapa final'!$AL$26="Alta",'Mapa final'!$AN$26="Moderado"),CONCATENATE("R2C",'Mapa final'!$U$26),"")</f>
        <v/>
      </c>
      <c r="AA23" s="39" t="str">
        <f>IF(AND('Mapa final'!$AL$27="Alta",'Mapa final'!$AN$27="Moderado"),CONCATENATE("R2C",'Mapa final'!$U$27),"")</f>
        <v/>
      </c>
      <c r="AB23" s="40" t="str">
        <f>IF(AND('Mapa final'!$AL$28="Alta",'Mapa final'!$AN$28="Moderado"),CONCATENATE("R2C",'Mapa final'!$U$28),"")</f>
        <v/>
      </c>
      <c r="AC23" s="38" t="str">
        <f>IF(AND('Mapa final'!$AL$23="Alta",'Mapa final'!$AN$23="Mayor"),CONCATENATE("R2C",'Mapa final'!$U$23),"")</f>
        <v/>
      </c>
      <c r="AD23" s="39" t="str">
        <f>IF(AND('Mapa final'!$AL$24="Alta",'Mapa final'!$AN$24="Mayor"),CONCATENATE("R2C",'Mapa final'!$U$24),"")</f>
        <v/>
      </c>
      <c r="AE23" s="39" t="str">
        <f>IF(AND('Mapa final'!$AL$25="Alta",'Mapa final'!$AN$25="Mayor"),CONCATENATE("R2C",'Mapa final'!$U$25),"")</f>
        <v/>
      </c>
      <c r="AF23" s="39" t="str">
        <f>IF(AND('Mapa final'!$AL$26="Alta",'Mapa final'!$AN$26="Mayor"),CONCATENATE("R2C",'Mapa final'!$U$26),"")</f>
        <v/>
      </c>
      <c r="AG23" s="39" t="str">
        <f>IF(AND('Mapa final'!$AL$27="Alta",'Mapa final'!$AN$27="Mayor"),CONCATENATE("R2C",'Mapa final'!$U$27),"")</f>
        <v/>
      </c>
      <c r="AH23" s="40" t="str">
        <f>IF(AND('Mapa final'!$AL$28="Alta",'Mapa final'!$AN$28="Mayor"),CONCATENATE("R2C",'Mapa final'!$U$28),"")</f>
        <v/>
      </c>
      <c r="AI23" s="41" t="str">
        <f>IF(AND('Mapa final'!$AL$23="Alta",'Mapa final'!$AN$23="Catastrófico"),CONCATENATE("R2C",'Mapa final'!$U$23),"")</f>
        <v/>
      </c>
      <c r="AJ23" s="42" t="str">
        <f>IF(AND('Mapa final'!$AL$24="Alta",'Mapa final'!$AN$24="Catastrófico"),CONCATENATE("R2C",'Mapa final'!$U$24),"")</f>
        <v/>
      </c>
      <c r="AK23" s="42" t="str">
        <f>IF(AND('Mapa final'!$AL$25="Alta",'Mapa final'!$AN$25="Catastrófico"),CONCATENATE("R2C",'Mapa final'!$U$25),"")</f>
        <v/>
      </c>
      <c r="AL23" s="42" t="str">
        <f>IF(AND('Mapa final'!$AL$26="Alta",'Mapa final'!$AN$26="Catastrófico"),CONCATENATE("R2C",'Mapa final'!$U$26),"")</f>
        <v/>
      </c>
      <c r="AM23" s="42" t="str">
        <f>IF(AND('Mapa final'!$AL$27="Alta",'Mapa final'!$AN$27="Catastrófico"),CONCATENATE("R2C",'Mapa final'!$U$27),"")</f>
        <v/>
      </c>
      <c r="AN23" s="43" t="str">
        <f>IF(AND('Mapa final'!$AL$28="Alta",'Mapa final'!$AN$28="Catastrófico"),CONCATENATE("R2C",'Mapa final'!$U$28),"")</f>
        <v/>
      </c>
      <c r="AO23" s="69"/>
      <c r="AP23" s="486"/>
      <c r="AQ23" s="487"/>
      <c r="AR23" s="487"/>
      <c r="AS23" s="487"/>
      <c r="AT23" s="487"/>
      <c r="AU23" s="488"/>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433"/>
      <c r="D24" s="433"/>
      <c r="E24" s="434"/>
      <c r="F24" s="476"/>
      <c r="G24" s="477"/>
      <c r="H24" s="477"/>
      <c r="I24" s="477"/>
      <c r="J24" s="477"/>
      <c r="K24" s="53" t="str">
        <f>IF(AND('Mapa final'!$AL$29="Alta",'Mapa final'!$AN$29="Leve"),CONCATENATE("R2C",'Mapa final'!$U$29),"")</f>
        <v/>
      </c>
      <c r="L24" s="54" t="str">
        <f>IF(AND('Mapa final'!$AL$30="Alta",'Mapa final'!$AN$30="Leve"),CONCATENATE("R2C",'Mapa final'!$U$30),"")</f>
        <v/>
      </c>
      <c r="M24" s="54" t="str">
        <f>IF(AND('Mapa final'!$AL$31="Alta",'Mapa final'!$AN$31="Leve"),CONCATENATE("R2C",'Mapa final'!$U$31),"")</f>
        <v/>
      </c>
      <c r="N24" s="54" t="str">
        <f>IF(AND('Mapa final'!$AL$32="Alta",'Mapa final'!$AN$32="Leve"),CONCATENATE("R2C",'Mapa final'!$U$32),"")</f>
        <v/>
      </c>
      <c r="O24" s="54" t="str">
        <f>IF(AND('Mapa final'!$AL$33="Alta",'Mapa final'!$AN$33="Leve"),CONCATENATE("R2C",'Mapa final'!$U$33),"")</f>
        <v/>
      </c>
      <c r="P24" s="55" t="str">
        <f>IF(AND('Mapa final'!$AL$34="Alta",'Mapa final'!$AN$34="Leve"),CONCATENATE("R2C",'Mapa final'!$U$34),"")</f>
        <v/>
      </c>
      <c r="Q24" s="53" t="str">
        <f>IF(AND('Mapa final'!$AL$29="Alta",'Mapa final'!$AN$29="Menor"),CONCATENATE("R2C",'Mapa final'!$U$29),"")</f>
        <v/>
      </c>
      <c r="R24" s="54" t="str">
        <f>IF(AND('Mapa final'!$AL$30="Alta",'Mapa final'!$AN$30="Menor"),CONCATENATE("R2C",'Mapa final'!$U$30),"")</f>
        <v/>
      </c>
      <c r="S24" s="54" t="str">
        <f>IF(AND('Mapa final'!$AL$31="Alta",'Mapa final'!$AN$31="Menor"),CONCATENATE("R2C",'Mapa final'!$U$31),"")</f>
        <v/>
      </c>
      <c r="T24" s="54" t="str">
        <f>IF(AND('Mapa final'!$AL$32="Alta",'Mapa final'!$AN$32="Menor"),CONCATENATE("R2C",'Mapa final'!$U$32),"")</f>
        <v/>
      </c>
      <c r="U24" s="54" t="str">
        <f>IF(AND('Mapa final'!$AL$33="Alta",'Mapa final'!$AN$33="Menor"),CONCATENATE("R2C",'Mapa final'!$U$33),"")</f>
        <v/>
      </c>
      <c r="V24" s="55" t="str">
        <f>IF(AND('Mapa final'!$AL$34="Alta",'Mapa final'!$AN$34="Menor"),CONCATENATE("R2C",'Mapa final'!$U$34),"")</f>
        <v/>
      </c>
      <c r="W24" s="38" t="str">
        <f>IF(AND('Mapa final'!$AL$29="Alta",'Mapa final'!$AN$29="Moderado"),CONCATENATE("R2C",'Mapa final'!$U$29),"")</f>
        <v/>
      </c>
      <c r="X24" s="39" t="str">
        <f>IF(AND('Mapa final'!$AL$30="Alta",'Mapa final'!$AN$30="Moderado"),CONCATENATE("R2C",'Mapa final'!$U$30),"")</f>
        <v/>
      </c>
      <c r="Y24" s="39" t="str">
        <f>IF(AND('Mapa final'!$AL$31="Alta",'Mapa final'!$AN$31="Moderado"),CONCATENATE("R2C",'Mapa final'!$U$31),"")</f>
        <v/>
      </c>
      <c r="Z24" s="39" t="str">
        <f>IF(AND('Mapa final'!$AL$32="Alta",'Mapa final'!$AN$32="Moderado"),CONCATENATE("R2C",'Mapa final'!$U$32),"")</f>
        <v/>
      </c>
      <c r="AA24" s="39" t="str">
        <f>IF(AND('Mapa final'!$AL$33="Alta",'Mapa final'!$AN$33="Moderado"),CONCATENATE("R2C",'Mapa final'!$U$33),"")</f>
        <v/>
      </c>
      <c r="AB24" s="40" t="str">
        <f>IF(AND('Mapa final'!$AL$34="Alta",'Mapa final'!$AN$34="Moderado"),CONCATENATE("R2C",'Mapa final'!$U$34),"")</f>
        <v/>
      </c>
      <c r="AC24" s="38" t="str">
        <f>IF(AND('Mapa final'!$AL$29="Alta",'Mapa final'!$AN$29="Mayor"),CONCATENATE("R2C",'Mapa final'!$U$29),"")</f>
        <v/>
      </c>
      <c r="AD24" s="39" t="str">
        <f>IF(AND('Mapa final'!$AL$30="Alta",'Mapa final'!$AN$30="Mayor"),CONCATENATE("R2C",'Mapa final'!$U$30),"")</f>
        <v/>
      </c>
      <c r="AE24" s="39" t="str">
        <f>IF(AND('Mapa final'!$AL$31="Alta",'Mapa final'!$AN$31="Mayor"),CONCATENATE("R2C",'Mapa final'!$U$31),"")</f>
        <v/>
      </c>
      <c r="AF24" s="39" t="str">
        <f>IF(AND('Mapa final'!$AL$32="Alta",'Mapa final'!$AN$32="Mayor"),CONCATENATE("R2C",'Mapa final'!$U$32),"")</f>
        <v/>
      </c>
      <c r="AG24" s="39" t="str">
        <f>IF(AND('Mapa final'!$AL$33="Alta",'Mapa final'!$AN$33="Mayor"),CONCATENATE("R2C",'Mapa final'!$U$33),"")</f>
        <v/>
      </c>
      <c r="AH24" s="40" t="str">
        <f>IF(AND('Mapa final'!$AL$34="Alta",'Mapa final'!$AN$34="Mayor"),CONCATENATE("R2C",'Mapa final'!$U$34),"")</f>
        <v/>
      </c>
      <c r="AI24" s="41" t="str">
        <f>IF(AND('Mapa final'!$AL$29="Alta",'Mapa final'!$AN$29="Catastrófico"),CONCATENATE("R2C",'Mapa final'!$U$29),"")</f>
        <v/>
      </c>
      <c r="AJ24" s="42" t="str">
        <f>IF(AND('Mapa final'!$AL$30="Alta",'Mapa final'!$AN$30="Catastrófico"),CONCATENATE("R2C",'Mapa final'!$U$30),"")</f>
        <v/>
      </c>
      <c r="AK24" s="42" t="str">
        <f>IF(AND('Mapa final'!$AL$31="Alta",'Mapa final'!$AN$31="Catastrófico"),CONCATENATE("R2C",'Mapa final'!$U$31),"")</f>
        <v/>
      </c>
      <c r="AL24" s="42" t="str">
        <f>IF(AND('Mapa final'!$AL$32="Alta",'Mapa final'!$AN$32="Catastrófico"),CONCATENATE("R2C",'Mapa final'!$U$32),"")</f>
        <v/>
      </c>
      <c r="AM24" s="42" t="str">
        <f>IF(AND('Mapa final'!$AL$33="Alta",'Mapa final'!$AN$33="Catastrófico"),CONCATENATE("R2C",'Mapa final'!$U$33),"")</f>
        <v/>
      </c>
      <c r="AN24" s="43" t="str">
        <f>IF(AND('Mapa final'!$AL$34="Alta",'Mapa final'!$AN$34="Catastrófico"),CONCATENATE("R2C",'Mapa final'!$U$34),"")</f>
        <v/>
      </c>
      <c r="AO24" s="69"/>
      <c r="AP24" s="486"/>
      <c r="AQ24" s="487"/>
      <c r="AR24" s="487"/>
      <c r="AS24" s="487"/>
      <c r="AT24" s="487"/>
      <c r="AU24" s="488"/>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433"/>
      <c r="D25" s="433"/>
      <c r="E25" s="434"/>
      <c r="F25" s="476"/>
      <c r="G25" s="477"/>
      <c r="H25" s="477"/>
      <c r="I25" s="477"/>
      <c r="J25" s="477"/>
      <c r="K25" s="53" t="str">
        <f>IF(AND('Mapa final'!$AL$35="Alta",'Mapa final'!$AN$35="Leve"),CONCATENATE("R2C",'Mapa final'!$U$35),"")</f>
        <v/>
      </c>
      <c r="L25" s="54" t="str">
        <f>IF(AND('Mapa final'!$AL$36="Alta",'Mapa final'!$AN$36="Leve"),CONCATENATE("R2C",'Mapa final'!$U$36),"")</f>
        <v/>
      </c>
      <c r="M25" s="54" t="str">
        <f>IF(AND('Mapa final'!$AL$37="Alta",'Mapa final'!$AN$37="Leve"),CONCATENATE("R2C",'Mapa final'!$U$37),"")</f>
        <v/>
      </c>
      <c r="N25" s="54" t="str">
        <f>IF(AND('Mapa final'!$AL$38="Alta",'Mapa final'!$AN$38="Leve"),CONCATENATE("R2C",'Mapa final'!$U$38),"")</f>
        <v/>
      </c>
      <c r="O25" s="54" t="str">
        <f>IF(AND('Mapa final'!$AL$39="Alta",'Mapa final'!$AN$39="Leve"),CONCATENATE("R2C",'Mapa final'!$U$39),"")</f>
        <v/>
      </c>
      <c r="P25" s="55" t="str">
        <f>IF(AND('Mapa final'!$AL$40="Alta",'Mapa final'!$AN$40="Leve"),CONCATENATE("R2C",'Mapa final'!$U$40),"")</f>
        <v/>
      </c>
      <c r="Q25" s="53" t="str">
        <f>IF(AND('Mapa final'!$AL$35="Alta",'Mapa final'!$AN$35="Menor"),CONCATENATE("R2C",'Mapa final'!$U$35),"")</f>
        <v/>
      </c>
      <c r="R25" s="54" t="str">
        <f>IF(AND('Mapa final'!$AL$36="Alta",'Mapa final'!$AN$36="Menor"),CONCATENATE("R2C",'Mapa final'!$U$36),"")</f>
        <v/>
      </c>
      <c r="S25" s="54" t="str">
        <f>IF(AND('Mapa final'!$AL$37="Alta",'Mapa final'!$AN$37="Menor"),CONCATENATE("R2C",'Mapa final'!$U$37),"")</f>
        <v/>
      </c>
      <c r="T25" s="54" t="str">
        <f>IF(AND('Mapa final'!$AL$38="Alta",'Mapa final'!$AN$38="Menor"),CONCATENATE("R2C",'Mapa final'!$U$38),"")</f>
        <v/>
      </c>
      <c r="U25" s="54" t="str">
        <f>IF(AND('Mapa final'!$AL$39="Alta",'Mapa final'!$AN$39="LMenor"),CONCATENATE("R2C",'Mapa final'!$U$39),"")</f>
        <v/>
      </c>
      <c r="V25" s="55" t="str">
        <f>IF(AND('Mapa final'!$AL$40="Alta",'Mapa final'!$AN$40="Menor"),CONCATENATE("R2C",'Mapa final'!$U$40),"")</f>
        <v/>
      </c>
      <c r="W25" s="38" t="str">
        <f>IF(AND('Mapa final'!$AL$35="Alta",'Mapa final'!$AN$35="Moderado"),CONCATENATE("R2C",'Mapa final'!$U$35),"")</f>
        <v/>
      </c>
      <c r="X25" s="39" t="str">
        <f>IF(AND('Mapa final'!$AL$36="Alta",'Mapa final'!$AN$36="Moderado"),CONCATENATE("R2C",'Mapa final'!$U$36),"")</f>
        <v/>
      </c>
      <c r="Y25" s="39" t="str">
        <f>IF(AND('Mapa final'!$AL$37="Alta",'Mapa final'!$AN$37="Moderado"),CONCATENATE("R2C",'Mapa final'!$U$37),"")</f>
        <v/>
      </c>
      <c r="Z25" s="39" t="str">
        <f>IF(AND('Mapa final'!$AL$38="Alta",'Mapa final'!$AN$38="Moderado"),CONCATENATE("R2C",'Mapa final'!$U$38),"")</f>
        <v/>
      </c>
      <c r="AA25" s="39" t="str">
        <f>IF(AND('Mapa final'!$AL$39="Alta",'Mapa final'!$AN$39="Moderado"),CONCATENATE("R2C",'Mapa final'!$U$39),"")</f>
        <v/>
      </c>
      <c r="AB25" s="40" t="str">
        <f>IF(AND('Mapa final'!$AL$40="Alta",'Mapa final'!$AN$40="Moderado"),CONCATENATE("R2C",'Mapa final'!$U$40),"")</f>
        <v/>
      </c>
      <c r="AC25" s="38" t="str">
        <f>IF(AND('Mapa final'!$AL$35="Alta",'Mapa final'!$AN$35="Mayor"),CONCATENATE("R2C",'Mapa final'!$U$35),"")</f>
        <v/>
      </c>
      <c r="AD25" s="39" t="str">
        <f>IF(AND('Mapa final'!$AL$36="Alta",'Mapa final'!$AN$36="Mayor"),CONCATENATE("R2C",'Mapa final'!$U$36),"")</f>
        <v/>
      </c>
      <c r="AE25" s="39" t="str">
        <f>IF(AND('Mapa final'!$AL$37="Alta",'Mapa final'!$AN$37="Mayor"),CONCATENATE("R2C",'Mapa final'!$U$37),"")</f>
        <v/>
      </c>
      <c r="AF25" s="39" t="str">
        <f>IF(AND('Mapa final'!$AL$38="Alta",'Mapa final'!$AN$38="Mayor"),CONCATENATE("R2C",'Mapa final'!$U$38),"")</f>
        <v/>
      </c>
      <c r="AG25" s="39" t="str">
        <f>IF(AND('Mapa final'!$AL$39="Alta",'Mapa final'!$AN$39="Mayor"),CONCATENATE("R2C",'Mapa final'!$U$39),"")</f>
        <v/>
      </c>
      <c r="AH25" s="40" t="str">
        <f>IF(AND('Mapa final'!$AL$40="Alta",'Mapa final'!$AN$40="Mayor"),CONCATENATE("R2C",'Mapa final'!$U$40),"")</f>
        <v/>
      </c>
      <c r="AI25" s="41" t="str">
        <f>IF(AND('Mapa final'!$AL$35="Alta",'Mapa final'!$AN$35="Catastrófico"),CONCATENATE("R2C",'Mapa final'!$U$35),"")</f>
        <v/>
      </c>
      <c r="AJ25" s="42" t="str">
        <f>IF(AND('Mapa final'!$AL$36="Alta",'Mapa final'!$AN$36="Catastrófico"),CONCATENATE("R2C",'Mapa final'!$U$36),"")</f>
        <v/>
      </c>
      <c r="AK25" s="42" t="str">
        <f>IF(AND('Mapa final'!$AL$37="Alta",'Mapa final'!$AN$37="Catastrófico"),CONCATENATE("R2C",'Mapa final'!$U$37),"")</f>
        <v/>
      </c>
      <c r="AL25" s="42" t="str">
        <f>IF(AND('Mapa final'!$AL$38="Alta",'Mapa final'!$AN$38="Catastrófico"),CONCATENATE("R2C",'Mapa final'!$U$38),"")</f>
        <v/>
      </c>
      <c r="AM25" s="42" t="str">
        <f>IF(AND('Mapa final'!$AL$39="Alta",'Mapa final'!$AN$39="LCatastrófico"),CONCATENATE("R2C",'Mapa final'!$U$39),"")</f>
        <v/>
      </c>
      <c r="AN25" s="43" t="str">
        <f>IF(AND('Mapa final'!$AL$40="Alta",'Mapa final'!$AN$40="Catastrófico"),CONCATENATE("R2C",'Mapa final'!$U$40),"")</f>
        <v/>
      </c>
      <c r="AO25" s="69"/>
      <c r="AP25" s="486"/>
      <c r="AQ25" s="487"/>
      <c r="AR25" s="487"/>
      <c r="AS25" s="487"/>
      <c r="AT25" s="487"/>
      <c r="AU25" s="488"/>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433"/>
      <c r="D26" s="433"/>
      <c r="E26" s="434"/>
      <c r="F26" s="476"/>
      <c r="G26" s="477"/>
      <c r="H26" s="477"/>
      <c r="I26" s="477"/>
      <c r="J26" s="477"/>
      <c r="K26" s="53" t="str">
        <f>IF(AND('Mapa final'!$AL$41="Alta",'Mapa final'!$AN$41="Leve"),CONCATENATE("R2C",'Mapa final'!$U$41),"")</f>
        <v/>
      </c>
      <c r="L26" s="54" t="str">
        <f>IF(AND('Mapa final'!$AL$42="Alta",'Mapa final'!$AN$42="Leve"),CONCATENATE("R2C",'Mapa final'!$U$42),"")</f>
        <v/>
      </c>
      <c r="M26" s="54" t="str">
        <f>IF(AND('Mapa final'!$AL$43="Alta",'Mapa final'!$AN$43="Leve"),CONCATENATE("R2C",'Mapa final'!$U$43),"")</f>
        <v/>
      </c>
      <c r="N26" s="54" t="str">
        <f>IF(AND('Mapa final'!$AL$44="Alta",'Mapa final'!$AN$44="Leve"),CONCATENATE("R2C",'Mapa final'!$U$44),"")</f>
        <v/>
      </c>
      <c r="O26" s="54" t="str">
        <f>IF(AND('Mapa final'!$AL$45="Alta",'Mapa final'!$AN$45="Leve"),CONCATENATE("R2C",'Mapa final'!$U$45),"")</f>
        <v/>
      </c>
      <c r="P26" s="55" t="str">
        <f>IF(AND('Mapa final'!$AL$46="Alta",'Mapa final'!$AN$46="Leve"),CONCATENATE("R2C",'Mapa final'!$U$46),"")</f>
        <v/>
      </c>
      <c r="Q26" s="53" t="str">
        <f>IF(AND('Mapa final'!$AL$41="Alta",'Mapa final'!$AN$41="Menor"),CONCATENATE("R2C",'Mapa final'!$U$41),"")</f>
        <v/>
      </c>
      <c r="R26" s="54" t="str">
        <f>IF(AND('Mapa final'!$AL$42="Alta",'Mapa final'!$AN$42="Menor"),CONCATENATE("R2C",'Mapa final'!$U$42),"")</f>
        <v/>
      </c>
      <c r="S26" s="54" t="str">
        <f>IF(AND('Mapa final'!$AL$43="Alta",'Mapa final'!$AN$43="Menor"),CONCATENATE("R2C",'Mapa final'!$U$43),"")</f>
        <v/>
      </c>
      <c r="T26" s="54" t="str">
        <f>IF(AND('Mapa final'!$AL$44="Alta",'Mapa final'!$AN$44="Menor"),CONCATENATE("R2C",'Mapa final'!$U$44),"")</f>
        <v/>
      </c>
      <c r="U26" s="54" t="str">
        <f>IF(AND('Mapa final'!$AL$45="Alta",'Mapa final'!$AN$45="Menor"),CONCATENATE("R2C",'Mapa final'!$U$45),"")</f>
        <v/>
      </c>
      <c r="V26" s="55" t="str">
        <f>IF(AND('Mapa final'!$AL$46="Alta",'Mapa final'!$AN$46="Menor"),CONCATENATE("R2C",'Mapa final'!$U$46),"")</f>
        <v/>
      </c>
      <c r="W26" s="38" t="str">
        <f>IF(AND('Mapa final'!$AL$41="Alta",'Mapa final'!$AN$41="Moderado"),CONCATENATE("R2C",'Mapa final'!$U$41),"")</f>
        <v/>
      </c>
      <c r="X26" s="39" t="str">
        <f>IF(AND('Mapa final'!$AL$42="Alta",'Mapa final'!$AN$42="Moderado"),CONCATENATE("R2C",'Mapa final'!$U$42),"")</f>
        <v/>
      </c>
      <c r="Y26" s="39" t="str">
        <f>IF(AND('Mapa final'!$AL$43="Alta",'Mapa final'!$AN$43="Moderado"),CONCATENATE("R2C",'Mapa final'!$U$43),"")</f>
        <v/>
      </c>
      <c r="Z26" s="39" t="str">
        <f>IF(AND('Mapa final'!$AL$44="Alta",'Mapa final'!$AN$44="Moderado"),CONCATENATE("R2C",'Mapa final'!$U$44),"")</f>
        <v/>
      </c>
      <c r="AA26" s="39" t="str">
        <f>IF(AND('Mapa final'!$AL$45="Alta",'Mapa final'!$AN$45="Moderado"),CONCATENATE("R2C",'Mapa final'!$U$45),"")</f>
        <v/>
      </c>
      <c r="AB26" s="40" t="str">
        <f>IF(AND('Mapa final'!$AL$46="Alta",'Mapa final'!$AN$46="Moderado"),CONCATENATE("R2C",'Mapa final'!$U$46),"")</f>
        <v/>
      </c>
      <c r="AC26" s="38" t="str">
        <f>IF(AND('Mapa final'!$AL$41="Alta",'Mapa final'!$AN$41="Mayor"),CONCATENATE("R2C",'Mapa final'!$U$41),"")</f>
        <v/>
      </c>
      <c r="AD26" s="39" t="str">
        <f>IF(AND('Mapa final'!$AL$42="Alta",'Mapa final'!$AN$42="Mayor"),CONCATENATE("R2C",'Mapa final'!$U$42),"")</f>
        <v/>
      </c>
      <c r="AE26" s="39" t="str">
        <f>IF(AND('Mapa final'!$AL$43="Alta",'Mapa final'!$AN$43="Mayor"),CONCATENATE("R2C",'Mapa final'!$U$43),"")</f>
        <v/>
      </c>
      <c r="AF26" s="39" t="str">
        <f>IF(AND('Mapa final'!$AL$44="Alta",'Mapa final'!$AN$44="Mayor"),CONCATENATE("R2C",'Mapa final'!$U$44),"")</f>
        <v/>
      </c>
      <c r="AG26" s="39" t="str">
        <f>IF(AND('Mapa final'!$AL$45="Alta",'Mapa final'!$AN$45="Mayor"),CONCATENATE("R2C",'Mapa final'!$U$45),"")</f>
        <v/>
      </c>
      <c r="AH26" s="40" t="str">
        <f>IF(AND('Mapa final'!$AL$46="Alta",'Mapa final'!$AN$46="Mayor"),CONCATENATE("R2C",'Mapa final'!$U$46),"")</f>
        <v/>
      </c>
      <c r="AI26" s="41" t="str">
        <f>IF(AND('Mapa final'!$AL$41="Alta",'Mapa final'!$AN$41="Catastrófico"),CONCATENATE("R2C",'Mapa final'!$U$41),"")</f>
        <v/>
      </c>
      <c r="AJ26" s="42" t="str">
        <f>IF(AND('Mapa final'!$AL$42="Alta",'Mapa final'!$AN$42="Catastrófico"),CONCATENATE("R2C",'Mapa final'!$U$42),"")</f>
        <v/>
      </c>
      <c r="AK26" s="42" t="str">
        <f>IF(AND('Mapa final'!$AL$43="Alta",'Mapa final'!$AN$43="Catastrófico"),CONCATENATE("R2C",'Mapa final'!$U$43),"")</f>
        <v/>
      </c>
      <c r="AL26" s="42" t="str">
        <f>IF(AND('Mapa final'!$AL$44="Alta",'Mapa final'!$AN$44="Catastrófico"),CONCATENATE("R2C",'Mapa final'!$U$44),"")</f>
        <v/>
      </c>
      <c r="AM26" s="42" t="str">
        <f>IF(AND('Mapa final'!$AL$45="Alta",'Mapa final'!$AN$45="Catastrófico"),CONCATENATE("R2C",'Mapa final'!$U$45),"")</f>
        <v/>
      </c>
      <c r="AN26" s="43" t="str">
        <f>IF(AND('Mapa final'!$AL$46="Alta",'Mapa final'!$AN$46="Catastrófico"),CONCATENATE("R2C",'Mapa final'!$U$46),"")</f>
        <v/>
      </c>
      <c r="AO26" s="69"/>
      <c r="AP26" s="486"/>
      <c r="AQ26" s="487"/>
      <c r="AR26" s="487"/>
      <c r="AS26" s="487"/>
      <c r="AT26" s="487"/>
      <c r="AU26" s="488"/>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433"/>
      <c r="D27" s="433"/>
      <c r="E27" s="434"/>
      <c r="F27" s="476"/>
      <c r="G27" s="477"/>
      <c r="H27" s="477"/>
      <c r="I27" s="477"/>
      <c r="J27" s="477"/>
      <c r="K27" s="53" t="str">
        <f>IF(AND('Mapa final'!$AL$47="Alta",'Mapa final'!$AN$47="Leve"),CONCATENATE("R2C",'Mapa final'!$U$47),"")</f>
        <v/>
      </c>
      <c r="L27" s="54" t="str">
        <f>IF(AND('Mapa final'!$AL$48="Alta",'Mapa final'!$AN$48="Leve"),CONCATENATE("R2C",'Mapa final'!$U$48),"")</f>
        <v/>
      </c>
      <c r="M27" s="54" t="str">
        <f>IF(AND('Mapa final'!$AL$49="Alta",'Mapa final'!$AN$49="Leve"),CONCATENATE("R2C",'Mapa final'!$U$49),"")</f>
        <v/>
      </c>
      <c r="N27" s="54" t="str">
        <f>IF(AND('Mapa final'!$AL$50="Alta",'Mapa final'!$AN$50="Leve"),CONCATENATE("R2C",'Mapa final'!$U$50),"")</f>
        <v/>
      </c>
      <c r="O27" s="54" t="str">
        <f>IF(AND('Mapa final'!$AL$51="Alta",'Mapa final'!$AN$51="Leve"),CONCATENATE("R2C",'Mapa final'!$U$51),"")</f>
        <v/>
      </c>
      <c r="P27" s="55" t="str">
        <f>IF(AND('Mapa final'!$AL$62="Alta",'Mapa final'!$AN$52="Leve"),CONCATENATE("R2C",'Mapa final'!$U$52),"")</f>
        <v/>
      </c>
      <c r="Q27" s="53" t="str">
        <f>IF(AND('Mapa final'!$AL$47="Alta",'Mapa final'!$AN$47="Menor"),CONCATENATE("R2C",'Mapa final'!$U$47),"")</f>
        <v/>
      </c>
      <c r="R27" s="54" t="str">
        <f>IF(AND('Mapa final'!$AL$48="Alta",'Mapa final'!$AN$48="Menor"),CONCATENATE("R2C",'Mapa final'!$U$48),"")</f>
        <v/>
      </c>
      <c r="S27" s="54" t="str">
        <f>IF(AND('Mapa final'!$AL$49="Alta",'Mapa final'!$AN$49="Menor"),CONCATENATE("R2C",'Mapa final'!$U$49),"")</f>
        <v/>
      </c>
      <c r="T27" s="54" t="str">
        <f>IF(AND('Mapa final'!$AL$50="Alta",'Mapa final'!$AN$50="Menor"),CONCATENATE("R2C",'Mapa final'!$U$50),"")</f>
        <v/>
      </c>
      <c r="U27" s="54" t="str">
        <f>IF(AND('Mapa final'!$AL$51="Alta",'Mapa final'!$AN$51="Menor"),CONCATENATE("R2C",'Mapa final'!$U$51),"")</f>
        <v/>
      </c>
      <c r="V27" s="55" t="str">
        <f>IF(AND('Mapa final'!$AL$62="Alta",'Mapa final'!$AN$52="Menor"),CONCATENATE("R2C",'Mapa final'!$U$52),"")</f>
        <v/>
      </c>
      <c r="W27" s="38" t="str">
        <f>IF(AND('Mapa final'!$AL$47="Alta",'Mapa final'!$AN$47="Moderado"),CONCATENATE("R2C",'Mapa final'!$U$47),"")</f>
        <v/>
      </c>
      <c r="X27" s="39" t="str">
        <f>IF(AND('Mapa final'!$AL$48="Alta",'Mapa final'!$AN$48="Moderado"),CONCATENATE("R2C",'Mapa final'!$U$48),"")</f>
        <v/>
      </c>
      <c r="Y27" s="39" t="str">
        <f>IF(AND('Mapa final'!$AL$49="Alta",'Mapa final'!$AN$49="Moderado"),CONCATENATE("R2C",'Mapa final'!$U$49),"")</f>
        <v/>
      </c>
      <c r="Z27" s="39" t="str">
        <f>IF(AND('Mapa final'!$AL$50="Alta",'Mapa final'!$AN$50="Moderado"),CONCATENATE("R2C",'Mapa final'!$U$50),"")</f>
        <v/>
      </c>
      <c r="AA27" s="39" t="str">
        <f>IF(AND('Mapa final'!$AL$51="Alta",'Mapa final'!$AN$51="Moderado"),CONCATENATE("R2C",'Mapa final'!$U$51),"")</f>
        <v/>
      </c>
      <c r="AB27" s="40" t="str">
        <f>IF(AND('Mapa final'!$AL$62="Alta",'Mapa final'!$AN$52="Moderado"),CONCATENATE("R2C",'Mapa final'!$U$52),"")</f>
        <v/>
      </c>
      <c r="AC27" s="38" t="str">
        <f>IF(AND('Mapa final'!$AL$47="Alta",'Mapa final'!$AN$47="Mayor"),CONCATENATE("R2C",'Mapa final'!$U$47),"")</f>
        <v/>
      </c>
      <c r="AD27" s="39" t="str">
        <f>IF(AND('Mapa final'!$AL$48="Alta",'Mapa final'!$AN$48="Mayor"),CONCATENATE("R2C",'Mapa final'!$U$48),"")</f>
        <v/>
      </c>
      <c r="AE27" s="39" t="str">
        <f>IF(AND('Mapa final'!$AL$49="Alta",'Mapa final'!$AN$49="Mayor"),CONCATENATE("R2C",'Mapa final'!$U$49),"")</f>
        <v/>
      </c>
      <c r="AF27" s="39" t="str">
        <f>IF(AND('Mapa final'!$AL$50="Alta",'Mapa final'!$AN$50="Mayor"),CONCATENATE("R2C",'Mapa final'!$U$50),"")</f>
        <v/>
      </c>
      <c r="AG27" s="39" t="str">
        <f>IF(AND('Mapa final'!$AL$51="Alta",'Mapa final'!$AN$51="Mayor"),CONCATENATE("R2C",'Mapa final'!$U$51),"")</f>
        <v/>
      </c>
      <c r="AH27" s="40" t="str">
        <f>IF(AND('Mapa final'!$AL$62="Alta",'Mapa final'!$AN$52="Mayor"),CONCATENATE("R2C",'Mapa final'!$U$52),"")</f>
        <v/>
      </c>
      <c r="AI27" s="41" t="str">
        <f>IF(AND('Mapa final'!$AL$47="Alta",'Mapa final'!$AN$47="Catastrófico"),CONCATENATE("R2C",'Mapa final'!$U$47),"")</f>
        <v/>
      </c>
      <c r="AJ27" s="42" t="str">
        <f>IF(AND('Mapa final'!$AL$48="Alta",'Mapa final'!$AN$48="Catastrófico"),CONCATENATE("R2C",'Mapa final'!$U$48),"")</f>
        <v/>
      </c>
      <c r="AK27" s="42" t="str">
        <f>IF(AND('Mapa final'!$AL$49="Alta",'Mapa final'!$AN$49="Catastrófico"),CONCATENATE("R2C",'Mapa final'!$U$49),"")</f>
        <v/>
      </c>
      <c r="AL27" s="42" t="str">
        <f>IF(AND('Mapa final'!$AL$50="Alta",'Mapa final'!$AN$50="Catastrófico"),CONCATENATE("R2C",'Mapa final'!$U$50),"")</f>
        <v/>
      </c>
      <c r="AM27" s="42" t="str">
        <f>IF(AND('Mapa final'!$AL$51="Alta",'Mapa final'!$AN$51="Catastrófico"),CONCATENATE("R2C",'Mapa final'!$U$51),"")</f>
        <v/>
      </c>
      <c r="AN27" s="43" t="str">
        <f>IF(AND('Mapa final'!$AL$62="Alta",'Mapa final'!$AN$52="Catastrófico"),CONCATENATE("R2C",'Mapa final'!$U$52),"")</f>
        <v/>
      </c>
      <c r="AO27" s="69"/>
      <c r="AP27" s="486"/>
      <c r="AQ27" s="487"/>
      <c r="AR27" s="487"/>
      <c r="AS27" s="487"/>
      <c r="AT27" s="487"/>
      <c r="AU27" s="488"/>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433"/>
      <c r="D28" s="433"/>
      <c r="E28" s="434"/>
      <c r="F28" s="476"/>
      <c r="G28" s="477"/>
      <c r="H28" s="477"/>
      <c r="I28" s="477"/>
      <c r="J28" s="477"/>
      <c r="K28" s="53" t="str">
        <f>IF(AND('Mapa final'!$AL$53="Alta",'Mapa final'!$AN$53="Leve"),CONCATENATE("R2C",'Mapa final'!$U$53),"")</f>
        <v/>
      </c>
      <c r="L28" s="54" t="str">
        <f>IF(AND('Mapa final'!$AL$54="Alta",'Mapa final'!$AN$54="Leve"),CONCATENATE("R2C",'Mapa final'!$U$54),"")</f>
        <v/>
      </c>
      <c r="M28" s="54" t="str">
        <f>IF(AND('Mapa final'!$AL$55="Alta",'Mapa final'!$AN$55="Leve"),CONCATENATE("R2C",'Mapa final'!$U$55),"")</f>
        <v/>
      </c>
      <c r="N28" s="54" t="str">
        <f>IF(AND('Mapa final'!$AL$56="Alta",'Mapa final'!$AN$56="Leve"),CONCATENATE("R2C",'Mapa final'!$U$56),"")</f>
        <v/>
      </c>
      <c r="O28" s="54" t="str">
        <f>IF(AND('Mapa final'!$AL$57="Alta",'Mapa final'!$AN$57="Leve"),CONCATENATE("R2C",'Mapa final'!$U$57),"")</f>
        <v/>
      </c>
      <c r="P28" s="55" t="str">
        <f>IF(AND('Mapa final'!$AL$58="Alta",'Mapa final'!$AN$58="Leve"),CONCATENATE("R2C",'Mapa final'!$U$58),"")</f>
        <v/>
      </c>
      <c r="Q28" s="53" t="str">
        <f>IF(AND('Mapa final'!$AL$53="Alta",'Mapa final'!$AN$53="Menor"),CONCATENATE("R2C",'Mapa final'!$U$53),"")</f>
        <v/>
      </c>
      <c r="R28" s="54" t="str">
        <f>IF(AND('Mapa final'!$AL$54="Alta",'Mapa final'!$AN$54="Menor"),CONCATENATE("R2C",'Mapa final'!$U$54),"")</f>
        <v/>
      </c>
      <c r="S28" s="54" t="str">
        <f>IF(AND('Mapa final'!$AL$55="Alta",'Mapa final'!$AN$55="Menor"),CONCATENATE("R2C",'Mapa final'!$U$55),"")</f>
        <v/>
      </c>
      <c r="T28" s="54" t="str">
        <f>IF(AND('Mapa final'!$AL$56="Alta",'Mapa final'!$AN$56="Menor"),CONCATENATE("R2C",'Mapa final'!$U$56),"")</f>
        <v/>
      </c>
      <c r="U28" s="54" t="str">
        <f>IF(AND('Mapa final'!$AL$57="Alta",'Mapa final'!$AN$57="Menor"),CONCATENATE("R2C",'Mapa final'!$U$57),"")</f>
        <v/>
      </c>
      <c r="V28" s="55" t="str">
        <f>IF(AND('Mapa final'!$AL$58="Alta",'Mapa final'!$AN$58="Menor"),CONCATENATE("R2C",'Mapa final'!$U$58),"")</f>
        <v/>
      </c>
      <c r="W28" s="38" t="str">
        <f>IF(AND('Mapa final'!$AL$53="Alta",'Mapa final'!$AN$53="Moderado"),CONCATENATE("R2C",'Mapa final'!$U$53),"")</f>
        <v/>
      </c>
      <c r="X28" s="39" t="str">
        <f>IF(AND('Mapa final'!$AL$54="Alta",'Mapa final'!$AN$54="Moderado"),CONCATENATE("R2C",'Mapa final'!$U$54),"")</f>
        <v/>
      </c>
      <c r="Y28" s="39" t="str">
        <f>IF(AND('Mapa final'!$AL$55="Alta",'Mapa final'!$AN$55="Moderado"),CONCATENATE("R2C",'Mapa final'!$U$55),"")</f>
        <v/>
      </c>
      <c r="Z28" s="39" t="str">
        <f>IF(AND('Mapa final'!$AL$56="Alta",'Mapa final'!$AN$56="Moderado"),CONCATENATE("R2C",'Mapa final'!$U$56),"")</f>
        <v/>
      </c>
      <c r="AA28" s="39" t="str">
        <f>IF(AND('Mapa final'!$AL$57="Alta",'Mapa final'!$AN$57="Moderado"),CONCATENATE("R2C",'Mapa final'!$U$57),"")</f>
        <v/>
      </c>
      <c r="AB28" s="40" t="str">
        <f>IF(AND('Mapa final'!$AL$58="Alta",'Mapa final'!$AN$58="Moderado"),CONCATENATE("R2C",'Mapa final'!$U$58),"")</f>
        <v/>
      </c>
      <c r="AC28" s="38" t="str">
        <f>IF(AND('Mapa final'!$AL$53="Alta",'Mapa final'!$AN$53="Mayor"),CONCATENATE("R2C",'Mapa final'!$U$53),"")</f>
        <v/>
      </c>
      <c r="AD28" s="39" t="str">
        <f>IF(AND('Mapa final'!$AL$54="Alta",'Mapa final'!$AN$54="Mayor"),CONCATENATE("R2C",'Mapa final'!$U$54),"")</f>
        <v/>
      </c>
      <c r="AE28" s="39" t="str">
        <f>IF(AND('Mapa final'!$AL$55="Alta",'Mapa final'!$AN$55="Mayor"),CONCATENATE("R2C",'Mapa final'!$U$55),"")</f>
        <v/>
      </c>
      <c r="AF28" s="39" t="str">
        <f>IF(AND('Mapa final'!$AL$56="Alta",'Mapa final'!$AN$56="Mayor"),CONCATENATE("R2C",'Mapa final'!$U$56),"")</f>
        <v/>
      </c>
      <c r="AG28" s="39" t="str">
        <f>IF(AND('Mapa final'!$AL$57="Alta",'Mapa final'!$AN$57="Mayor"),CONCATENATE("R2C",'Mapa final'!$U$57),"")</f>
        <v/>
      </c>
      <c r="AH28" s="40" t="str">
        <f>IF(AND('Mapa final'!$AL$58="Alta",'Mapa final'!$AN$58="Mayor"),CONCATENATE("R2C",'Mapa final'!$U$58),"")</f>
        <v/>
      </c>
      <c r="AI28" s="41" t="str">
        <f>IF(AND('Mapa final'!$AL$53="Alta",'Mapa final'!$AN$53="Catastrófico"),CONCATENATE("R2C",'Mapa final'!$U$53),"")</f>
        <v/>
      </c>
      <c r="AJ28" s="42" t="str">
        <f>IF(AND('Mapa final'!$AL$54="Alta",'Mapa final'!$AN$54="Catastrófico"),CONCATENATE("R2C",'Mapa final'!$U$54),"")</f>
        <v/>
      </c>
      <c r="AK28" s="42" t="str">
        <f>IF(AND('Mapa final'!$AL$55="Alta",'Mapa final'!$AN$55="Catastrófico"),CONCATENATE("R2C",'Mapa final'!$U$55),"")</f>
        <v/>
      </c>
      <c r="AL28" s="42" t="str">
        <f>IF(AND('Mapa final'!$AL$56="Alta",'Mapa final'!$AN$56="Catastrófico"),CONCATENATE("R2C",'Mapa final'!$U$56),"")</f>
        <v/>
      </c>
      <c r="AM28" s="42" t="str">
        <f>IF(AND('Mapa final'!$AL$57="Alta",'Mapa final'!$AN$57="Catastrófico"),CONCATENATE("R2C",'Mapa final'!$U$57),"")</f>
        <v/>
      </c>
      <c r="AN28" s="43" t="str">
        <f>IF(AND('Mapa final'!$AL$58="Alta",'Mapa final'!$AN$58="Catastrófico"),CONCATENATE("R2C",'Mapa final'!$U$58),"")</f>
        <v/>
      </c>
      <c r="AO28" s="69"/>
      <c r="AP28" s="486"/>
      <c r="AQ28" s="487"/>
      <c r="AR28" s="487"/>
      <c r="AS28" s="487"/>
      <c r="AT28" s="487"/>
      <c r="AU28" s="488"/>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433"/>
      <c r="D29" s="433"/>
      <c r="E29" s="434"/>
      <c r="F29" s="476"/>
      <c r="G29" s="477"/>
      <c r="H29" s="477"/>
      <c r="I29" s="477"/>
      <c r="J29" s="477"/>
      <c r="K29" s="53" t="str">
        <f>IF(AND('Mapa final'!$AL$59="Alta",'Mapa final'!$AN$59="Leve"),CONCATENATE("R2C",'Mapa final'!$U$59),"")</f>
        <v/>
      </c>
      <c r="L29" s="54" t="str">
        <f>IF(AND('Mapa final'!$AL$60="Alta",'Mapa final'!$AN$60="Leve"),CONCATENATE("R2C",'Mapa final'!$U$60),"")</f>
        <v/>
      </c>
      <c r="M29" s="54" t="str">
        <f>IF(AND('Mapa final'!$AL$61="Alta",'Mapa final'!$AN$61="Leve"),CONCATENATE("R2C",'Mapa final'!$U$61),"")</f>
        <v/>
      </c>
      <c r="N29" s="54" t="str">
        <f>IF(AND('Mapa final'!$AL$62="Alta",'Mapa final'!$AN$62="Leve"),CONCATENATE("R2C",'Mapa final'!$U$62),"")</f>
        <v/>
      </c>
      <c r="O29" s="54" t="str">
        <f>IF(AND('Mapa final'!$AL$63="Alta",'Mapa final'!$AN$63="Leve"),CONCATENATE("R2C",'Mapa final'!$U$63),"")</f>
        <v/>
      </c>
      <c r="P29" s="55" t="str">
        <f>IF(AND('Mapa final'!$AL$64="Alta",'Mapa final'!$AN$64="Leve"),CONCATENATE("R2C",'Mapa final'!$U$64),"")</f>
        <v/>
      </c>
      <c r="Q29" s="53" t="str">
        <f>IF(AND('Mapa final'!$AL$59="Alta",'Mapa final'!$AN$59="Menor"),CONCATENATE("R2C",'Mapa final'!$U$59),"")</f>
        <v/>
      </c>
      <c r="R29" s="54" t="str">
        <f>IF(AND('Mapa final'!$AL$60="Alta",'Mapa final'!$AN$60="Menor"),CONCATENATE("R2C",'Mapa final'!$U$60),"")</f>
        <v/>
      </c>
      <c r="S29" s="54" t="str">
        <f>IF(AND('Mapa final'!$AL$61="Alta",'Mapa final'!$AN$61="Menor"),CONCATENATE("R2C",'Mapa final'!$U$61),"")</f>
        <v/>
      </c>
      <c r="T29" s="54" t="str">
        <f>IF(AND('Mapa final'!$AL$62="Alta",'Mapa final'!$AN$62="Menor"),CONCATENATE("R2C",'Mapa final'!$U$62),"")</f>
        <v/>
      </c>
      <c r="U29" s="54" t="str">
        <f>IF(AND('Mapa final'!$AL$63="Alta",'Mapa final'!$AN$63="Menor"),CONCATENATE("R2C",'Mapa final'!$U$63),"")</f>
        <v/>
      </c>
      <c r="V29" s="55" t="str">
        <f>IF(AND('Mapa final'!$AL$64="Alta",'Mapa final'!$AN$64="Menor"),CONCATENATE("R2C",'Mapa final'!$U$64),"")</f>
        <v/>
      </c>
      <c r="W29" s="38" t="str">
        <f>IF(AND('Mapa final'!$AL$59="Alta",'Mapa final'!$AN$59="Moderado"),CONCATENATE("R2C",'Mapa final'!$U$59),"")</f>
        <v/>
      </c>
      <c r="X29" s="39" t="str">
        <f>IF(AND('Mapa final'!$AL$60="Alta",'Mapa final'!$AN$60="Moderado"),CONCATENATE("R2C",'Mapa final'!$U$60),"")</f>
        <v/>
      </c>
      <c r="Y29" s="39" t="str">
        <f>IF(AND('Mapa final'!$AL$61="Alta",'Mapa final'!$AN$61="Moderado"),CONCATENATE("R2C",'Mapa final'!$U$61),"")</f>
        <v/>
      </c>
      <c r="Z29" s="39" t="str">
        <f>IF(AND('Mapa final'!$AL$62="Alta",'Mapa final'!$AN$62="Moderado"),CONCATENATE("R2C",'Mapa final'!$U$62),"")</f>
        <v/>
      </c>
      <c r="AA29" s="39" t="str">
        <f>IF(AND('Mapa final'!$AL$63="Alta",'Mapa final'!$AN$63="Moderado"),CONCATENATE("R2C",'Mapa final'!$U$63),"")</f>
        <v/>
      </c>
      <c r="AB29" s="40" t="str">
        <f>IF(AND('Mapa final'!$AL$64="Alta",'Mapa final'!$AN$64="Moderado"),CONCATENATE("R2C",'Mapa final'!$U$64),"")</f>
        <v/>
      </c>
      <c r="AC29" s="38" t="str">
        <f>IF(AND('Mapa final'!$AL$59="Alta",'Mapa final'!$AN$59="Mayor"),CONCATENATE("R2C",'Mapa final'!$U$59),"")</f>
        <v/>
      </c>
      <c r="AD29" s="39" t="str">
        <f>IF(AND('Mapa final'!$AL$60="Alta",'Mapa final'!$AN$60="Mayor"),CONCATENATE("R2C",'Mapa final'!$U$60),"")</f>
        <v/>
      </c>
      <c r="AE29" s="39" t="str">
        <f>IF(AND('Mapa final'!$AL$61="Alta",'Mapa final'!$AN$61="Mayor"),CONCATENATE("R2C",'Mapa final'!$U$61),"")</f>
        <v/>
      </c>
      <c r="AF29" s="39" t="str">
        <f>IF(AND('Mapa final'!$AL$62="Alta",'Mapa final'!$AN$62="Mayor"),CONCATENATE("R2C",'Mapa final'!$U$62),"")</f>
        <v/>
      </c>
      <c r="AG29" s="39" t="str">
        <f>IF(AND('Mapa final'!$AL$63="Alta",'Mapa final'!$AN$63="Mayor"),CONCATENATE("R2C",'Mapa final'!$U$63),"")</f>
        <v/>
      </c>
      <c r="AH29" s="40" t="str">
        <f>IF(AND('Mapa final'!$AL$64="Alta",'Mapa final'!$AN$64="Mayor"),CONCATENATE("R2C",'Mapa final'!$U$64),"")</f>
        <v/>
      </c>
      <c r="AI29" s="41" t="str">
        <f>IF(AND('Mapa final'!$AL$59="Alta",'Mapa final'!$AN$59="Catastrófico"),CONCATENATE("R2C",'Mapa final'!$U$59),"")</f>
        <v/>
      </c>
      <c r="AJ29" s="42" t="str">
        <f>IF(AND('Mapa final'!$AL$60="Alta",'Mapa final'!$AN$60="Catastrófico"),CONCATENATE("R2C",'Mapa final'!$U$60),"")</f>
        <v/>
      </c>
      <c r="AK29" s="42" t="str">
        <f>IF(AND('Mapa final'!$AL$61="Alta",'Mapa final'!$AN$61="Catastrófico"),CONCATENATE("R2C",'Mapa final'!$U$61),"")</f>
        <v/>
      </c>
      <c r="AL29" s="42" t="str">
        <f>IF(AND('Mapa final'!$AL$62="Alta",'Mapa final'!$AN$62="Catastrófico"),CONCATENATE("R2C",'Mapa final'!$U$62),"")</f>
        <v/>
      </c>
      <c r="AM29" s="42" t="str">
        <f>IF(AND('Mapa final'!$AL$63="Alta",'Mapa final'!$AN$63="Catastrófico"),CONCATENATE("R2C",'Mapa final'!$U$63),"")</f>
        <v/>
      </c>
      <c r="AN29" s="43" t="str">
        <f>IF(AND('Mapa final'!$AL$64="Alta",'Mapa final'!$AN$64="Catastrófico"),CONCATENATE("R2C",'Mapa final'!$U$64),"")</f>
        <v/>
      </c>
      <c r="AO29" s="69"/>
      <c r="AP29" s="486"/>
      <c r="AQ29" s="487"/>
      <c r="AR29" s="487"/>
      <c r="AS29" s="487"/>
      <c r="AT29" s="487"/>
      <c r="AU29" s="488"/>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433"/>
      <c r="D30" s="433"/>
      <c r="E30" s="434"/>
      <c r="F30" s="476"/>
      <c r="G30" s="477"/>
      <c r="H30" s="477"/>
      <c r="I30" s="477"/>
      <c r="J30" s="477"/>
      <c r="K30" s="53" t="str">
        <f>IF(AND('Mapa final'!$AL$65="Alta",'Mapa final'!$AN$65="Leve"),CONCATENATE("R2C",'Mapa final'!$U$65),"")</f>
        <v/>
      </c>
      <c r="L30" s="54" t="str">
        <f>IF(AND('Mapa final'!$AL$66="Alta",'Mapa final'!$AN$66="Leve"),CONCATENATE("R2C",'Mapa final'!$U$66),"")</f>
        <v/>
      </c>
      <c r="M30" s="54" t="str">
        <f>IF(AND('Mapa final'!$AL$67="Alta",'Mapa final'!$AN$67="Leve"),CONCATENATE("R2C",'Mapa final'!$U$67),"")</f>
        <v/>
      </c>
      <c r="N30" s="54" t="str">
        <f>IF(AND('Mapa final'!$AL$68="Alta",'Mapa final'!$AN$68="Leve"),CONCATENATE("R2C",'Mapa final'!$U$68),"")</f>
        <v/>
      </c>
      <c r="O30" s="54" t="str">
        <f>IF(AND('Mapa final'!$AL$69="Alta",'Mapa final'!$AN$69="Leve"),CONCATENATE("R2C",'Mapa final'!$U$69),"")</f>
        <v/>
      </c>
      <c r="P30" s="55" t="str">
        <f>IF(AND('Mapa final'!$AL$70="Alta",'Mapa final'!$AN$70="Leve"),CONCATENATE("R2C",'Mapa final'!$U$70),"")</f>
        <v/>
      </c>
      <c r="Q30" s="53" t="str">
        <f>IF(AND('Mapa final'!$AL$65="Alta",'Mapa final'!$AN$65="Menor"),CONCATENATE("R2C",'Mapa final'!$U$65),"")</f>
        <v/>
      </c>
      <c r="R30" s="54" t="str">
        <f>IF(AND('Mapa final'!$AL$66="Alta",'Mapa final'!$AN$66="Menor"),CONCATENATE("R2C",'Mapa final'!$U$66),"")</f>
        <v/>
      </c>
      <c r="S30" s="54" t="str">
        <f>IF(AND('Mapa final'!$AL$67="Alta",'Mapa final'!$AN$67="Menor"),CONCATENATE("R2C",'Mapa final'!$U$67),"")</f>
        <v/>
      </c>
      <c r="T30" s="54" t="str">
        <f>IF(AND('Mapa final'!$AL$68="Alta",'Mapa final'!$AN$68="Menor"),CONCATENATE("R2C",'Mapa final'!$U$68),"")</f>
        <v/>
      </c>
      <c r="U30" s="54" t="str">
        <f>IF(AND('Mapa final'!$AL$69="Alta",'Mapa final'!$AN$69="Menor"),CONCATENATE("R2C",'Mapa final'!$U$69),"")</f>
        <v/>
      </c>
      <c r="V30" s="55" t="str">
        <f>IF(AND('Mapa final'!$AL$70="Alta",'Mapa final'!$AN$70="Menor"),CONCATENATE("R2C",'Mapa final'!$U$70),"")</f>
        <v/>
      </c>
      <c r="W30" s="38" t="str">
        <f>IF(AND('Mapa final'!$AL$65="Alta",'Mapa final'!$AN$65="Moderado"),CONCATENATE("R2C",'Mapa final'!$U$65),"")</f>
        <v/>
      </c>
      <c r="X30" s="39" t="str">
        <f>IF(AND('Mapa final'!$AL$66="Alta",'Mapa final'!$AN$66="Moderado"),CONCATENATE("R2C",'Mapa final'!$U$66),"")</f>
        <v/>
      </c>
      <c r="Y30" s="39" t="str">
        <f>IF(AND('Mapa final'!$AL$67="Alta",'Mapa final'!$AN$67="Moderado"),CONCATENATE("R2C",'Mapa final'!$U$67),"")</f>
        <v/>
      </c>
      <c r="Z30" s="39" t="str">
        <f>IF(AND('Mapa final'!$AL$68="Alta",'Mapa final'!$AN$68="Moderado"),CONCATENATE("R2C",'Mapa final'!$U$68),"")</f>
        <v/>
      </c>
      <c r="AA30" s="39" t="str">
        <f>IF(AND('Mapa final'!$AL$69="Alta",'Mapa final'!$AN$69="Moderado"),CONCATENATE("R2C",'Mapa final'!$U$69),"")</f>
        <v/>
      </c>
      <c r="AB30" s="40" t="str">
        <f>IF(AND('Mapa final'!$AL$70="Alta",'Mapa final'!$AN$70="Moderado"),CONCATENATE("R2C",'Mapa final'!$U$70),"")</f>
        <v/>
      </c>
      <c r="AC30" s="38" t="str">
        <f>IF(AND('Mapa final'!$AL$65="Alta",'Mapa final'!$AN$65="Mayor"),CONCATENATE("R2C",'Mapa final'!$U$65),"")</f>
        <v/>
      </c>
      <c r="AD30" s="39" t="str">
        <f>IF(AND('Mapa final'!$AL$66="Alta",'Mapa final'!$AN$66="Mayor"),CONCATENATE("R2C",'Mapa final'!$U$66),"")</f>
        <v/>
      </c>
      <c r="AE30" s="39" t="str">
        <f>IF(AND('Mapa final'!$AL$67="Alta",'Mapa final'!$AN$67="Mayor"),CONCATENATE("R2C",'Mapa final'!$U$67),"")</f>
        <v/>
      </c>
      <c r="AF30" s="39" t="str">
        <f>IF(AND('Mapa final'!$AL$68="Alta",'Mapa final'!$AN$68="Mayor"),CONCATENATE("R2C",'Mapa final'!$U$68),"")</f>
        <v/>
      </c>
      <c r="AG30" s="39" t="str">
        <f>IF(AND('Mapa final'!$AL$69="Alta",'Mapa final'!$AN$69="Mayor"),CONCATENATE("R2C",'Mapa final'!$U$69),"")</f>
        <v/>
      </c>
      <c r="AH30" s="40" t="str">
        <f>IF(AND('Mapa final'!$AL$70="Alta",'Mapa final'!$AN$70="Mayor"),CONCATENATE("R2C",'Mapa final'!$U$70),"")</f>
        <v/>
      </c>
      <c r="AI30" s="41" t="str">
        <f>IF(AND('Mapa final'!$AL$65="Alta",'Mapa final'!$AN$65="Catastrófico"),CONCATENATE("R2C",'Mapa final'!$U$65),"")</f>
        <v/>
      </c>
      <c r="AJ30" s="42" t="str">
        <f>IF(AND('Mapa final'!$AL$66="Alta",'Mapa final'!$AN$66="Catastrófico"),CONCATENATE("R2C",'Mapa final'!$U$66),"")</f>
        <v/>
      </c>
      <c r="AK30" s="42" t="str">
        <f>IF(AND('Mapa final'!$AL$67="Alta",'Mapa final'!$AN$67="Catastrófico"),CONCATENATE("R2C",'Mapa final'!$U$67),"")</f>
        <v/>
      </c>
      <c r="AL30" s="42" t="str">
        <f>IF(AND('Mapa final'!$AL$68="Alta",'Mapa final'!$AN$68="Catastrófico"),CONCATENATE("R2C",'Mapa final'!$U$68),"")</f>
        <v/>
      </c>
      <c r="AM30" s="42" t="str">
        <f>IF(AND('Mapa final'!$AL$69="Alta",'Mapa final'!$AN$69="Catastrófico"),CONCATENATE("R2C",'Mapa final'!$U$69),"")</f>
        <v/>
      </c>
      <c r="AN30" s="43" t="str">
        <f>IF(AND('Mapa final'!$AL$70="Alta",'Mapa final'!$AN$70="Catastrófico"),CONCATENATE("R2C",'Mapa final'!$U$70),"")</f>
        <v/>
      </c>
      <c r="AO30" s="69"/>
      <c r="AP30" s="486"/>
      <c r="AQ30" s="487"/>
      <c r="AR30" s="487"/>
      <c r="AS30" s="487"/>
      <c r="AT30" s="487"/>
      <c r="AU30" s="488"/>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433"/>
      <c r="D31" s="433"/>
      <c r="E31" s="434"/>
      <c r="F31" s="479"/>
      <c r="G31" s="480"/>
      <c r="H31" s="480"/>
      <c r="I31" s="480"/>
      <c r="J31" s="480"/>
      <c r="K31" s="56" t="str">
        <f>IF(AND('Mapa final'!$AL$71="Alta",'Mapa final'!$AN$71="Leve"),CONCATENATE("R2C",'Mapa final'!$U$71),"")</f>
        <v/>
      </c>
      <c r="L31" s="57" t="str">
        <f>IF(AND('Mapa final'!$AL$72="Alta",'Mapa final'!$AN$72="Leve"),CONCATENATE("R2C",'Mapa final'!$U$72),"")</f>
        <v/>
      </c>
      <c r="M31" s="57" t="str">
        <f>IF(AND('Mapa final'!$AL$73="Alta",'Mapa final'!$AN$73="Leve"),CONCATENATE("R2C",'Mapa final'!$U$73),"")</f>
        <v/>
      </c>
      <c r="N31" s="57" t="str">
        <f>IF(AND('Mapa final'!$AL$74="Alta",'Mapa final'!$AN$74="Leve"),CONCATENATE("R2C",'Mapa final'!$U$74),"")</f>
        <v/>
      </c>
      <c r="O31" s="57" t="str">
        <f>IF(AND('Mapa final'!$AL$76="Alta",'Mapa final'!$AN$76="Leve"),CONCATENATE("R2C",'Mapa final'!$U$76),"")</f>
        <v/>
      </c>
      <c r="P31" s="58" t="str">
        <f>IF(AND('Mapa final'!$AL$77="Alta",'Mapa final'!$AN$77="Leve"),CONCATENATE("R2C",'Mapa final'!$U$77),"")</f>
        <v/>
      </c>
      <c r="Q31" s="56" t="str">
        <f>IF(AND('Mapa final'!$AL$71="Alta",'Mapa final'!$AN$71="Menor"),CONCATENATE("R2C",'Mapa final'!$U$71),"")</f>
        <v/>
      </c>
      <c r="R31" s="57" t="str">
        <f>IF(AND('Mapa final'!$AL$72="Alta",'Mapa final'!$AN$72="Menor"),CONCATENATE("R2C",'Mapa final'!$U$72),"")</f>
        <v/>
      </c>
      <c r="S31" s="57" t="str">
        <f>IF(AND('Mapa final'!$AL$73="Alta",'Mapa final'!$AN$73="Menor"),CONCATENATE("R2C",'Mapa final'!$U$73),"")</f>
        <v/>
      </c>
      <c r="T31" s="57" t="str">
        <f>IF(AND('Mapa final'!$AL$74="Alta",'Mapa final'!$AN$74="Menor"),CONCATENATE("R2C",'Mapa final'!$U$74),"")</f>
        <v/>
      </c>
      <c r="U31" s="57" t="str">
        <f>IF(AND('Mapa final'!$AL$76="Alta",'Mapa final'!$AN$76="Menor"),CONCATENATE("R2C",'Mapa final'!$U$76),"")</f>
        <v/>
      </c>
      <c r="V31" s="58" t="str">
        <f>IF(AND('Mapa final'!$AL$77="Alta",'Mapa final'!$AN$77="Menor"),CONCATENATE("R2C",'Mapa final'!$U$77),"")</f>
        <v/>
      </c>
      <c r="W31" s="44" t="str">
        <f>IF(AND('Mapa final'!$AL$71="Alta",'Mapa final'!$AN$71="Moderado"),CONCATENATE("R2C",'Mapa final'!$U$71),"")</f>
        <v/>
      </c>
      <c r="X31" s="45" t="str">
        <f>IF(AND('Mapa final'!$AL$72="Alta",'Mapa final'!$AN$72="Moderado"),CONCATENATE("R2C",'Mapa final'!$U$72),"")</f>
        <v/>
      </c>
      <c r="Y31" s="45" t="str">
        <f>IF(AND('Mapa final'!$AL$73="Alta",'Mapa final'!$AN$73="Moderado"),CONCATENATE("R2C",'Mapa final'!$U$73),"")</f>
        <v/>
      </c>
      <c r="Z31" s="45" t="str">
        <f>IF(AND('Mapa final'!$AL$74="Alta",'Mapa final'!$AN$74="Moderado"),CONCATENATE("R2C",'Mapa final'!$U$74),"")</f>
        <v/>
      </c>
      <c r="AA31" s="45" t="str">
        <f>IF(AND('Mapa final'!$AL$76="Alta",'Mapa final'!$AN$76="Moderado"),CONCATENATE("R2C",'Mapa final'!$U$76),"")</f>
        <v/>
      </c>
      <c r="AB31" s="46" t="str">
        <f>IF(AND('Mapa final'!$AL$77="Alta",'Mapa final'!$AN$77="Moderado"),CONCATENATE("R2C",'Mapa final'!$U$77),"")</f>
        <v/>
      </c>
      <c r="AC31" s="44" t="str">
        <f>IF(AND('Mapa final'!$AL$71="Alta",'Mapa final'!$AN$71="Mayor"),CONCATENATE("R2C",'Mapa final'!$U$71),"")</f>
        <v/>
      </c>
      <c r="AD31" s="45" t="str">
        <f>IF(AND('Mapa final'!$AL$72="Alta",'Mapa final'!$AN$72="Mayor"),CONCATENATE("R2C",'Mapa final'!$U$72),"")</f>
        <v/>
      </c>
      <c r="AE31" s="45" t="str">
        <f>IF(AND('Mapa final'!$AL$73="Alta",'Mapa final'!$AN$73="Mayor"),CONCATENATE("R2C",'Mapa final'!$U$73),"")</f>
        <v/>
      </c>
      <c r="AF31" s="45" t="str">
        <f>IF(AND('Mapa final'!$AL$74="Alta",'Mapa final'!$AN$74="Mayor"),CONCATENATE("R2C",'Mapa final'!$U$74),"")</f>
        <v/>
      </c>
      <c r="AG31" s="45" t="str">
        <f>IF(AND('Mapa final'!$AL$76="Alta",'Mapa final'!$AN$76="Mayor"),CONCATENATE("R2C",'Mapa final'!$U$76),"")</f>
        <v/>
      </c>
      <c r="AH31" s="46" t="str">
        <f>IF(AND('Mapa final'!$AL$77="Alta",'Mapa final'!$AN$77="Mayor"),CONCATENATE("R2C",'Mapa final'!$U$77),"")</f>
        <v/>
      </c>
      <c r="AI31" s="47" t="str">
        <f>IF(AND('Mapa final'!$AL$71="Alta",'Mapa final'!$AN$71="Catastrófico"),CONCATENATE("R2C",'Mapa final'!$U$71),"")</f>
        <v/>
      </c>
      <c r="AJ31" s="48" t="str">
        <f>IF(AND('Mapa final'!$AL$72="Alta",'Mapa final'!$AN$72="Catastrófico"),CONCATENATE("R2C",'Mapa final'!$U$72),"")</f>
        <v/>
      </c>
      <c r="AK31" s="48" t="str">
        <f>IF(AND('Mapa final'!$AL$73="Alta",'Mapa final'!$AN$73="Catastrófico"),CONCATENATE("R2C",'Mapa final'!$U$73),"")</f>
        <v/>
      </c>
      <c r="AL31" s="48" t="str">
        <f>IF(AND('Mapa final'!$AL$74="Alta",'Mapa final'!$AN$74="Catastrófico"),CONCATENATE("R2C",'Mapa final'!$U$74),"")</f>
        <v/>
      </c>
      <c r="AM31" s="48" t="str">
        <f>IF(AND('Mapa final'!$AL$76="Alta",'Mapa final'!$AN$76="Catastrófico"),CONCATENATE("R2C",'Mapa final'!$U$76),"")</f>
        <v/>
      </c>
      <c r="AN31" s="49" t="str">
        <f>IF(AND('Mapa final'!$AL$77="Muy Alta",'Mapa final'!$AN$77="Catastrófico"),CONCATENATE("R2C",'Mapa final'!$U$77),"")</f>
        <v/>
      </c>
      <c r="AO31" s="69"/>
      <c r="AP31" s="489"/>
      <c r="AQ31" s="490"/>
      <c r="AR31" s="490"/>
      <c r="AS31" s="490"/>
      <c r="AT31" s="490"/>
      <c r="AU31" s="491"/>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433"/>
      <c r="D32" s="433"/>
      <c r="E32" s="434"/>
      <c r="F32" s="473" t="s">
        <v>116</v>
      </c>
      <c r="G32" s="474"/>
      <c r="H32" s="474"/>
      <c r="I32" s="474"/>
      <c r="J32" s="475"/>
      <c r="K32" s="50" t="str">
        <f>IF(AND('Mapa final'!$AL$15="Media",'Mapa final'!$AN$15="Leve"),CONCATENATE("R2C",'Mapa final'!$U$15),"")</f>
        <v/>
      </c>
      <c r="L32" s="51" t="str">
        <f>IF(AND('Mapa final'!$AL$16="Media",'Mapa final'!$AN$16="Leve"),CONCATENATE("R2C",'Mapa final'!$U$16),"")</f>
        <v/>
      </c>
      <c r="M32" s="51" t="str">
        <f>IF(AND('Mapa final'!$AL$17="Media",'Mapa final'!$AN$17="Leve"),CONCATENATE("R2C",'Mapa final'!$U$17),"")</f>
        <v/>
      </c>
      <c r="N32" s="51" t="str">
        <f>IF(AND('Mapa final'!$AL$18="Media",'Mapa final'!$AN$18="Leve"),CONCATENATE("R2C",'Mapa final'!$U$18),"")</f>
        <v/>
      </c>
      <c r="O32" s="51" t="str">
        <f>IF(AND('Mapa final'!$AL$19="Media",'Mapa final'!$AN$19="Leve"),CONCATENATE("R2C",'Mapa final'!$U$19),"")</f>
        <v/>
      </c>
      <c r="P32" s="52" t="str">
        <f>IF(AND('Mapa final'!$AL$20="Media",'Mapa final'!$AN$20="Leve"),CONCATENATE("R2C",'Mapa final'!$U$20),"")</f>
        <v/>
      </c>
      <c r="Q32" s="50" t="str">
        <f>IF(AND('Mapa final'!$AL$15="Media",'Mapa final'!$AN$15="Menor"),CONCATENATE("R2C",'Mapa final'!$U$15),"")</f>
        <v/>
      </c>
      <c r="R32" s="51" t="str">
        <f>IF(AND('Mapa final'!$AL$16="Media",'Mapa final'!$AN$16="Menore"),CONCATENATE("R2C",'Mapa final'!$U$16),"")</f>
        <v/>
      </c>
      <c r="S32" s="51" t="str">
        <f>IF(AND('Mapa final'!$AL$17="Media",'Mapa final'!$AN$17="Menor"),CONCATENATE("R2C",'Mapa final'!$U$17),"")</f>
        <v/>
      </c>
      <c r="T32" s="51" t="str">
        <f>IF(AND('Mapa final'!$AL$18="Media",'Mapa final'!$AN$18="Menor"),CONCATENATE("R2C",'Mapa final'!$U$18),"")</f>
        <v/>
      </c>
      <c r="U32" s="51" t="str">
        <f>IF(AND('Mapa final'!$AL$19="Media",'Mapa final'!$AN$19="Menor"),CONCATENATE("R2C",'Mapa final'!$U$19),"")</f>
        <v/>
      </c>
      <c r="V32" s="52" t="str">
        <f>IF(AND('Mapa final'!$AL$20="Media",'Mapa final'!$AN$20="Menor"),CONCATENATE("R2C",'Mapa final'!$U$20),"")</f>
        <v/>
      </c>
      <c r="W32" s="50" t="str">
        <f>IF(AND('Mapa final'!$AL$15="Media",'Mapa final'!$AN$15="Moderado"),CONCATENATE("R2C",'Mapa final'!$U$15),"")</f>
        <v/>
      </c>
      <c r="X32" s="51" t="str">
        <f>IF(AND('Mapa final'!$AL$16="Media",'Mapa final'!$AN$16="Moderado"),CONCATENATE("R2C",'Mapa final'!$U$16),"")</f>
        <v/>
      </c>
      <c r="Y32" s="51" t="str">
        <f>IF(AND('Mapa final'!$AL$17="Media",'Mapa final'!$AN$17="Moderado"),CONCATENATE("R2C",'Mapa final'!$D$17),"")</f>
        <v/>
      </c>
      <c r="Z32" s="51" t="str">
        <f>IF(AND('Mapa final'!$AL$18="Media",'Mapa final'!$AN$18="Moderado"),CONCATENATE("R2C",'Mapa final'!$U$18),"")</f>
        <v/>
      </c>
      <c r="AA32" s="51" t="str">
        <f>IF(AND('Mapa final'!$AL$19="Media",'Mapa final'!$AN$19="Moderado"),CONCATENATE("R2C",'Mapa final'!$U$19),"")</f>
        <v/>
      </c>
      <c r="AB32" s="52" t="str">
        <f>IF(AND('Mapa final'!$AL$20="Media",'Mapa final'!$AN$20="Moderado"),CONCATENATE("R2C",'Mapa final'!$U$20),"")</f>
        <v/>
      </c>
      <c r="AC32" s="32" t="str">
        <f>IF(AND('Mapa final'!$AL$15="Media",'Mapa final'!$AN$15="Mayor"),CONCATENATE("R2C",'Mapa final'!$U$15),"")</f>
        <v/>
      </c>
      <c r="AD32" s="33" t="str">
        <f>IF(AND('Mapa final'!$AL$16="Media",'Mapa final'!$AN$16="Mayor"),CONCATENATE("R2C",'Mapa final'!$U$16),"")</f>
        <v/>
      </c>
      <c r="AE32" s="33" t="str">
        <f>IF(AND('Mapa final'!$AL$17="Media",'Mapa final'!$AN$17="Mayor"),CONCATENATE("R2C",'Mapa final'!$D$17),"")</f>
        <v/>
      </c>
      <c r="AF32" s="33" t="str">
        <f>IF(AND('Mapa final'!$AL$18="Media",'Mapa final'!$AN$18="Mayor"),CONCATENATE("R2C",'Mapa final'!$U$18),"")</f>
        <v/>
      </c>
      <c r="AG32" s="33" t="str">
        <f>IF(AND('Mapa final'!$AL$19="Media",'Mapa final'!$AN$19="Mayor"),CONCATENATE("R2C",'Mapa final'!$U$19),"")</f>
        <v/>
      </c>
      <c r="AH32" s="34" t="str">
        <f>IF(AND('Mapa final'!$AL$20="Media",'Mapa final'!$AN$20="Mayor"),CONCATENATE("R2C",'Mapa final'!$U$20),"")</f>
        <v/>
      </c>
      <c r="AI32" s="35" t="str">
        <f>IF(AND('Mapa final'!$AL$15="Media",'Mapa final'!$AN$15="Catastrófico"),CONCATENATE("R2C",'Mapa final'!$U$15),"")</f>
        <v/>
      </c>
      <c r="AJ32" s="36" t="str">
        <f>IF(AND('Mapa final'!$AL$16="Media",'Mapa final'!$AN$16="Catastrófico"),CONCATENATE("R2C",'Mapa final'!$U$16),"")</f>
        <v/>
      </c>
      <c r="AK32" s="36" t="str">
        <f>IF(AND('Mapa final'!$AL$17="Media",'Mapa final'!$AN$17="Catastrófico"),CONCATENATE("R2C",'Mapa final'!$U$17),"")</f>
        <v/>
      </c>
      <c r="AL32" s="36" t="str">
        <f>IF(AND('Mapa final'!$AL$18="Media",'Mapa final'!$AN$18="Catastrófico"),CONCATENATE("R2C",'Mapa final'!$U$18),"")</f>
        <v/>
      </c>
      <c r="AM32" s="36" t="str">
        <f>IF(AND('Mapa final'!$AL$19="Media",'Mapa final'!$AN$19="Catastrófico"),CONCATENATE("R2C",'Mapa final'!$U$19),"")</f>
        <v/>
      </c>
      <c r="AN32" s="37" t="str">
        <f>IF(AND('Mapa final'!$AL$20="Media",'Mapa final'!$AN$20="Catastrófico"),CONCATENATE("R2C",'Mapa final'!$U$20),"")</f>
        <v/>
      </c>
      <c r="AO32" s="69"/>
      <c r="AP32" s="514" t="s">
        <v>80</v>
      </c>
      <c r="AQ32" s="515"/>
      <c r="AR32" s="515"/>
      <c r="AS32" s="515"/>
      <c r="AT32" s="515"/>
      <c r="AU32" s="516"/>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433"/>
      <c r="D33" s="433"/>
      <c r="E33" s="434"/>
      <c r="F33" s="492"/>
      <c r="G33" s="477"/>
      <c r="H33" s="477"/>
      <c r="I33" s="477"/>
      <c r="J33" s="478"/>
      <c r="K33" s="53" t="str">
        <f>IF(AND('Mapa final'!$AL$23="Media",'Mapa final'!$AN$23="Leve"),CONCATENATE("R2C",'Mapa final'!$U$23),"")</f>
        <v/>
      </c>
      <c r="L33" s="54" t="str">
        <f>IF(AND('Mapa final'!$AL$24="Media",'Mapa final'!$AN$24="Leve"),CONCATENATE("R2C",'Mapa final'!$U$24),"")</f>
        <v/>
      </c>
      <c r="M33" s="54" t="str">
        <f>IF(AND('Mapa final'!$AL$25="Media",'Mapa final'!$AN$25="Leve"),CONCATENATE("R2C",'Mapa final'!$U$25),"")</f>
        <v/>
      </c>
      <c r="N33" s="54" t="str">
        <f>IF(AND('Mapa final'!$AL$26="Media",'Mapa final'!$AN$26="Leve"),CONCATENATE("R2C",'Mapa final'!$U$26),"")</f>
        <v/>
      </c>
      <c r="O33" s="54" t="str">
        <f>IF(AND('Mapa final'!$AL$27="Media",'Mapa final'!$AN$27="Leve"),CONCATENATE("R2C",'Mapa final'!$U$27),"")</f>
        <v/>
      </c>
      <c r="P33" s="55" t="str">
        <f>IF(AND('Mapa final'!$AL$28="Media",'Mapa final'!$AN$28="Leve"),CONCATENATE("R2C",'Mapa final'!$U$28),"")</f>
        <v/>
      </c>
      <c r="Q33" s="53" t="str">
        <f>IF(AND('Mapa final'!$AL$23="Media",'Mapa final'!$AN$23="Menor"),CONCATENATE("R2C",'Mapa final'!$U$23),"")</f>
        <v/>
      </c>
      <c r="R33" s="54" t="str">
        <f>IF(AND('Mapa final'!$AL$24="Media",'Mapa final'!$AN$24="Menor"),CONCATENATE("R2C",'Mapa final'!$U$24),"")</f>
        <v/>
      </c>
      <c r="S33" s="54" t="str">
        <f>IF(AND('Mapa final'!$AL$25="Media",'Mapa final'!$AN$25="Menor"),CONCATENATE("R2C",'Mapa final'!$U$25),"")</f>
        <v/>
      </c>
      <c r="T33" s="54" t="str">
        <f>IF(AND('Mapa final'!$AL$26="Media",'Mapa final'!$AN$26="Menor"),CONCATENATE("R2C",'Mapa final'!$U$26),"")</f>
        <v/>
      </c>
      <c r="U33" s="54" t="str">
        <f>IF(AND('Mapa final'!$AL$27="Media",'Mapa final'!$AN$27="Menor"),CONCATENATE("R2C",'Mapa final'!$U$27),"")</f>
        <v/>
      </c>
      <c r="V33" s="55" t="str">
        <f>IF(AND('Mapa final'!$AL$28="Media",'Mapa final'!$AN$28="Menor"),CONCATENATE("R2C",'Mapa final'!$U$28),"")</f>
        <v/>
      </c>
      <c r="W33" s="53" t="str">
        <f>IF(AND('Mapa final'!$AL$23="Media",'Mapa final'!$AN$23="Moderado"),CONCATENATE("R2C",'Mapa final'!$U$23),"")</f>
        <v/>
      </c>
      <c r="X33" s="54" t="str">
        <f>IF(AND('Mapa final'!$AL$24="Media",'Mapa final'!$AN$24="Moderado"),CONCATENATE("R2C",'Mapa final'!$U$24),"")</f>
        <v/>
      </c>
      <c r="Y33" s="54" t="str">
        <f>IF(AND('Mapa final'!$AL$25="Media",'Mapa final'!$AN$25="Moderado"),CONCATENATE("R2C",'Mapa final'!$U$25),"")</f>
        <v/>
      </c>
      <c r="Z33" s="54" t="str">
        <f>IF(AND('Mapa final'!$AL$26="Media",'Mapa final'!$AN$26="Moderado"),CONCATENATE("R2C",'Mapa final'!$U$26),"")</f>
        <v/>
      </c>
      <c r="AA33" s="54" t="str">
        <f>IF(AND('Mapa final'!$AL$27="Media",'Mapa final'!$AN$27="Moderado"),CONCATENATE("R2C",'Mapa final'!$U$27),"")</f>
        <v/>
      </c>
      <c r="AB33" s="55" t="str">
        <f>IF(AND('Mapa final'!$AL$28="Media",'Mapa final'!$AN$28="Moderado"),CONCATENATE("R2C",'Mapa final'!$U$28),"")</f>
        <v/>
      </c>
      <c r="AC33" s="38" t="str">
        <f>IF(AND('Mapa final'!$AL$23="Media",'Mapa final'!$AN$23="Mayor"),CONCATENATE("R2C",'Mapa final'!$U$23),"")</f>
        <v/>
      </c>
      <c r="AD33" s="39" t="str">
        <f>IF(AND('Mapa final'!$AL$24="Muy Alta",'Mapa final'!$AN$24="Mayor"),CONCATENATE("R2C",'Mapa final'!$U$24),"")</f>
        <v/>
      </c>
      <c r="AE33" s="39" t="str">
        <f>IF(AND('Mapa final'!$AL$25="Media",'Mapa final'!$AN$25="Mayor"),CONCATENATE("R2C",'Mapa final'!$U$25),"")</f>
        <v/>
      </c>
      <c r="AF33" s="39" t="str">
        <f>IF(AND('Mapa final'!$AL$26="Media",'Mapa final'!$AN$26="Mayor"),CONCATENATE("R2C",'Mapa final'!$U$26),"")</f>
        <v/>
      </c>
      <c r="AG33" s="39" t="str">
        <f>IF(AND('Mapa final'!$AL$27="Media",'Mapa final'!$AN$27="Mayor"),CONCATENATE("R2C",'Mapa final'!$U$27),"")</f>
        <v/>
      </c>
      <c r="AH33" s="40" t="str">
        <f>IF(AND('Mapa final'!$AL$28="Media",'Mapa final'!$AN$28="Mayor"),CONCATENATE("R2C",'Mapa final'!$U$28),"")</f>
        <v/>
      </c>
      <c r="AI33" s="41" t="str">
        <f>IF(AND('Mapa final'!$AL$23="Media",'Mapa final'!$AN$23="Catastrófico"),CONCATENATE("R2C",'Mapa final'!$U$23),"")</f>
        <v/>
      </c>
      <c r="AJ33" s="42" t="str">
        <f>IF(AND('Mapa final'!$AL$24="Media",'Mapa final'!$AN$24="Catastrófico"),CONCATENATE("R2C",'Mapa final'!$U$24),"")</f>
        <v/>
      </c>
      <c r="AK33" s="42" t="str">
        <f>IF(AND('Mapa final'!$AL$25="Media",'Mapa final'!$AN$25="Catastrófico"),CONCATENATE("R2C",'Mapa final'!$U$25),"")</f>
        <v/>
      </c>
      <c r="AL33" s="42" t="str">
        <f>IF(AND('Mapa final'!$AL$26="Media",'Mapa final'!$AN$26="Catastrófico"),CONCATENATE("R2C",'Mapa final'!$U$26),"")</f>
        <v/>
      </c>
      <c r="AM33" s="42" t="str">
        <f>IF(AND('Mapa final'!$AL$27="Media",'Mapa final'!$AN$27="Catastrófico"),CONCATENATE("R2C",'Mapa final'!$U$27),"")</f>
        <v/>
      </c>
      <c r="AN33" s="43" t="str">
        <f>IF(AND('Mapa final'!$AL$28="Media",'Mapa final'!$AN$28="Catastrófico"),CONCATENATE("R2C",'Mapa final'!$U$28),"")</f>
        <v/>
      </c>
      <c r="AO33" s="69"/>
      <c r="AP33" s="517"/>
      <c r="AQ33" s="518"/>
      <c r="AR33" s="518"/>
      <c r="AS33" s="518"/>
      <c r="AT33" s="518"/>
      <c r="AU33" s="51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433"/>
      <c r="D34" s="433"/>
      <c r="E34" s="434"/>
      <c r="F34" s="476"/>
      <c r="G34" s="477"/>
      <c r="H34" s="477"/>
      <c r="I34" s="477"/>
      <c r="J34" s="478"/>
      <c r="K34" s="53" t="str">
        <f>IF(AND('Mapa final'!$AL$29="Media",'Mapa final'!$AN$29="Leve"),CONCATENATE("R2C",'Mapa final'!$U$29),"")</f>
        <v/>
      </c>
      <c r="L34" s="54" t="str">
        <f>IF(AND('Mapa final'!$AL$30="Media",'Mapa final'!$AN$30="Leve"),CONCATENATE("R2C",'Mapa final'!$U$30),"")</f>
        <v/>
      </c>
      <c r="M34" s="54" t="str">
        <f>IF(AND('Mapa final'!$AL$31="Media",'Mapa final'!$AN$31="Leve"),CONCATENATE("R2C",'Mapa final'!$U$31),"")</f>
        <v/>
      </c>
      <c r="N34" s="54" t="str">
        <f>IF(AND('Mapa final'!$AL$32="Media",'Mapa final'!$AN$32="Leve"),CONCATENATE("R2C",'Mapa final'!$U$32),"")</f>
        <v/>
      </c>
      <c r="O34" s="54" t="str">
        <f>IF(AND('Mapa final'!$AL$33="Media",'Mapa final'!$AN$33="Leve"),CONCATENATE("R2C",'Mapa final'!$U$33),"")</f>
        <v/>
      </c>
      <c r="P34" s="55" t="str">
        <f>IF(AND('Mapa final'!$AL$34="Media",'Mapa final'!$AN$34="Leve"),CONCATENATE("R2C",'Mapa final'!$U$34),"")</f>
        <v/>
      </c>
      <c r="Q34" s="53" t="str">
        <f>IF(AND('Mapa final'!$AL$29="Media",'Mapa final'!$AN$29="Menor"),CONCATENATE("R2C",'Mapa final'!$U$29),"")</f>
        <v/>
      </c>
      <c r="R34" s="54" t="str">
        <f>IF(AND('Mapa final'!$AL$30="Media",'Mapa final'!$AN$30="Menor"),CONCATENATE("R2C",'Mapa final'!$U$30),"")</f>
        <v/>
      </c>
      <c r="S34" s="54" t="str">
        <f>IF(AND('Mapa final'!$AL$31="Media",'Mapa final'!$AN$31="Menor"),CONCATENATE("R2C",'Mapa final'!$U$31),"")</f>
        <v/>
      </c>
      <c r="T34" s="54" t="str">
        <f>IF(AND('Mapa final'!$AL$32="Media",'Mapa final'!$AN$32="Menor"),CONCATENATE("R2C",'Mapa final'!$U$32),"")</f>
        <v/>
      </c>
      <c r="U34" s="54" t="str">
        <f>IF(AND('Mapa final'!$AL$33="Media",'Mapa final'!$AN$33="Menor"),CONCATENATE("R2C",'Mapa final'!$U$33),"")</f>
        <v/>
      </c>
      <c r="V34" s="55" t="str">
        <f>IF(AND('Mapa final'!$AL$34="Media",'Mapa final'!$AN$34="Menor"),CONCATENATE("R2C",'Mapa final'!$U$34),"")</f>
        <v/>
      </c>
      <c r="W34" s="53" t="str">
        <f>IF(AND('Mapa final'!$AL$29="Media",'Mapa final'!$AN$29="Moderado"),CONCATENATE("R2C",'Mapa final'!$U$29),"")</f>
        <v/>
      </c>
      <c r="X34" s="54" t="str">
        <f>IF(AND('Mapa final'!$AL$30="Media",'Mapa final'!$AN$30="Moderado"),CONCATENATE("R2C",'Mapa final'!$U$30),"")</f>
        <v/>
      </c>
      <c r="Y34" s="54" t="str">
        <f>IF(AND('Mapa final'!$AL$31="Media",'Mapa final'!$AN$31="Moderado"),CONCATENATE("R2C",'Mapa final'!$U$31),"")</f>
        <v/>
      </c>
      <c r="Z34" s="54" t="str">
        <f>IF(AND('Mapa final'!$AL$32="Media",'Mapa final'!$AN$32="Moderado"),CONCATENATE("R2C",'Mapa final'!$U$32),"")</f>
        <v/>
      </c>
      <c r="AA34" s="54" t="str">
        <f>IF(AND('Mapa final'!$AL$33="Media",'Mapa final'!$AN$33="Moderado"),CONCATENATE("R2C",'Mapa final'!$U$33),"")</f>
        <v/>
      </c>
      <c r="AB34" s="55" t="str">
        <f>IF(AND('Mapa final'!$AL$34="Media",'Mapa final'!$AN$34="Moderado"),CONCATENATE("R2C",'Mapa final'!$U$34),"")</f>
        <v/>
      </c>
      <c r="AC34" s="38" t="str">
        <f>IF(AND('Mapa final'!$AL$29="Media",'Mapa final'!$AN$29="Mayor"),CONCATENATE("R2C",'Mapa final'!$U$29),"")</f>
        <v/>
      </c>
      <c r="AD34" s="39" t="str">
        <f>IF(AND('Mapa final'!$AL$30="Media",'Mapa final'!$AN$30="Mayor"),CONCATENATE("R2C",'Mapa final'!$U$30),"")</f>
        <v/>
      </c>
      <c r="AE34" s="39" t="str">
        <f>IF(AND('Mapa final'!$AL$31="Media",'Mapa final'!$AN$31="Mayor"),CONCATENATE("R2C",'Mapa final'!$U$31),"")</f>
        <v/>
      </c>
      <c r="AF34" s="39" t="str">
        <f>IF(AND('Mapa final'!$AL$32="Media",'Mapa final'!$AN$32="Mayor"),CONCATENATE("R2C",'Mapa final'!$U$32),"")</f>
        <v/>
      </c>
      <c r="AG34" s="39" t="str">
        <f>IF(AND('Mapa final'!$AL$33="Media",'Mapa final'!$AN$33="Mayor"),CONCATENATE("R2C",'Mapa final'!$U$33),"")</f>
        <v/>
      </c>
      <c r="AH34" s="40" t="str">
        <f>IF(AND('Mapa final'!$AL$34="Media",'Mapa final'!$AN$34="Mayor"),CONCATENATE("R2C",'Mapa final'!$U$34),"")</f>
        <v/>
      </c>
      <c r="AI34" s="41" t="str">
        <f>IF(AND('Mapa final'!$AL$29="Media",'Mapa final'!$AN$29="Catastrófico"),CONCATENATE("R2C",'Mapa final'!$U$29),"")</f>
        <v/>
      </c>
      <c r="AJ34" s="42" t="str">
        <f>IF(AND('Mapa final'!$AL$30="Media",'Mapa final'!$AN$30="Catastrófico"),CONCATENATE("R2C",'Mapa final'!$U$30),"")</f>
        <v/>
      </c>
      <c r="AK34" s="42" t="str">
        <f>IF(AND('Mapa final'!$AL$31="Media",'Mapa final'!$AN$31="Catastrófico"),CONCATENATE("R2C",'Mapa final'!$U$31),"")</f>
        <v/>
      </c>
      <c r="AL34" s="42" t="str">
        <f>IF(AND('Mapa final'!$AL$32="Media",'Mapa final'!$AN$32="Catastrófico"),CONCATENATE("R2C",'Mapa final'!$U$32),"")</f>
        <v/>
      </c>
      <c r="AM34" s="42" t="str">
        <f>IF(AND('Mapa final'!$AL$33="Media",'Mapa final'!$AN$33="Catastrófico"),CONCATENATE("R2C",'Mapa final'!$U$33),"")</f>
        <v/>
      </c>
      <c r="AN34" s="43" t="str">
        <f>IF(AND('Mapa final'!$AL$34="Media",'Mapa final'!$AN$34="Catastrófico"),CONCATENATE("R2C",'Mapa final'!$U$34),"")</f>
        <v/>
      </c>
      <c r="AO34" s="69"/>
      <c r="AP34" s="517"/>
      <c r="AQ34" s="518"/>
      <c r="AR34" s="518"/>
      <c r="AS34" s="518"/>
      <c r="AT34" s="518"/>
      <c r="AU34" s="51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433"/>
      <c r="D35" s="433"/>
      <c r="E35" s="434"/>
      <c r="F35" s="476"/>
      <c r="G35" s="477"/>
      <c r="H35" s="477"/>
      <c r="I35" s="477"/>
      <c r="J35" s="478"/>
      <c r="K35" s="53" t="str">
        <f>IF(AND('Mapa final'!$AL$35="Media",'Mapa final'!$AN$35="Leve"),CONCATENATE("R2C",'Mapa final'!$U$35),"")</f>
        <v/>
      </c>
      <c r="L35" s="54" t="str">
        <f>IF(AND('Mapa final'!$AL$36="Media",'Mapa final'!$AN$36="Leve"),CONCATENATE("R2C",'Mapa final'!$U$36),"")</f>
        <v/>
      </c>
      <c r="M35" s="54" t="str">
        <f>IF(AND('Mapa final'!$AL$37="Media",'Mapa final'!$AN$37="Leve"),CONCATENATE("R2C",'Mapa final'!$U$37),"")</f>
        <v/>
      </c>
      <c r="N35" s="54" t="str">
        <f>IF(AND('Mapa final'!$AL$38="Media",'Mapa final'!$AN$38="Leve"),CONCATENATE("R2C",'Mapa final'!$U$38),"")</f>
        <v/>
      </c>
      <c r="O35" s="54" t="str">
        <f>IF(AND('Mapa final'!$AL$39="Media",'Mapa final'!$AN$39="Leve"),CONCATENATE("R2C",'Mapa final'!$U$39),"")</f>
        <v/>
      </c>
      <c r="P35" s="55" t="str">
        <f>IF(AND('Mapa final'!$AL$40="Media",'Mapa final'!$AN$40="Leve"),CONCATENATE("R2C",'Mapa final'!$U$40),"")</f>
        <v/>
      </c>
      <c r="Q35" s="53" t="str">
        <f>IF(AND('Mapa final'!$AL$35="Media",'Mapa final'!$AN$35="Menor"),CONCATENATE("R2C",'Mapa final'!$U$35),"")</f>
        <v/>
      </c>
      <c r="R35" s="54" t="str">
        <f>IF(AND('Mapa final'!$AL$36="Media",'Mapa final'!$AN$36="Menor"),CONCATENATE("R2C",'Mapa final'!$U$36),"")</f>
        <v/>
      </c>
      <c r="S35" s="54" t="str">
        <f>IF(AND('Mapa final'!$AL$37="Media",'Mapa final'!$AN$37="Menor"),CONCATENATE("R2C",'Mapa final'!$U$37),"")</f>
        <v/>
      </c>
      <c r="T35" s="54" t="str">
        <f>IF(AND('Mapa final'!$AL$38="Media",'Mapa final'!$AN$38="Menor"),CONCATENATE("R2C",'Mapa final'!$U$38),"")</f>
        <v/>
      </c>
      <c r="U35" s="54" t="str">
        <f>IF(AND('Mapa final'!$AL$39="Media",'Mapa final'!$AN$39="LMenor"),CONCATENATE("R2C",'Mapa final'!$U$39),"")</f>
        <v/>
      </c>
      <c r="V35" s="55" t="str">
        <f>IF(AND('Mapa final'!$AL$40="Media",'Mapa final'!$AN$40="Menor"),CONCATENATE("R2C",'Mapa final'!$U$40),"")</f>
        <v/>
      </c>
      <c r="W35" s="53" t="str">
        <f>IF(AND('Mapa final'!$AL$35="Media",'Mapa final'!$AN$35="Moderado"),CONCATENATE("R2C",'Mapa final'!$U$35),"")</f>
        <v/>
      </c>
      <c r="X35" s="54" t="str">
        <f>IF(AND('Mapa final'!$AL$36="Media",'Mapa final'!$AN$36="Moderado"),CONCATENATE("R2C",'Mapa final'!$U$36),"")</f>
        <v/>
      </c>
      <c r="Y35" s="54" t="str">
        <f>IF(AND('Mapa final'!$AL$37="Media",'Mapa final'!$AN$37="Moderado"),CONCATENATE("R2C",'Mapa final'!$U$37),"")</f>
        <v/>
      </c>
      <c r="Z35" s="54" t="str">
        <f>IF(AND('Mapa final'!$AL$38="Media",'Mapa final'!$AN$38="Moderado"),CONCATENATE("R2C",'Mapa final'!$U$38),"")</f>
        <v/>
      </c>
      <c r="AA35" s="54" t="str">
        <f>IF(AND('Mapa final'!$AL$39="Media",'Mapa final'!$AN$39="Moderado"),CONCATENATE("R2C",'Mapa final'!$U$39),"")</f>
        <v/>
      </c>
      <c r="AB35" s="55" t="str">
        <f>IF(AND('Mapa final'!$AL$40="Media",'Mapa final'!$AN$40="Moderado"),CONCATENATE("R2C",'Mapa final'!$U$40),"")</f>
        <v/>
      </c>
      <c r="AC35" s="38" t="str">
        <f>IF(AND('Mapa final'!$AL$35="Media",'Mapa final'!$AN$35="Mayor"),CONCATENATE("R2C",'Mapa final'!$U$35),"")</f>
        <v/>
      </c>
      <c r="AD35" s="39" t="str">
        <f>IF(AND('Mapa final'!$AL$36="Media",'Mapa final'!$AN$36="Mayor"),CONCATENATE("R2C",'Mapa final'!$U$36),"")</f>
        <v/>
      </c>
      <c r="AE35" s="39" t="str">
        <f>IF(AND('Mapa final'!$AL$37="Media",'Mapa final'!$AN$37="Mayor"),CONCATENATE("R2C",'Mapa final'!$U$37),"")</f>
        <v/>
      </c>
      <c r="AF35" s="39" t="str">
        <f>IF(AND('Mapa final'!$AL$38="Media",'Mapa final'!$AN$38="Mayor"),CONCATENATE("R2C",'Mapa final'!$U$38),"")</f>
        <v/>
      </c>
      <c r="AG35" s="39" t="str">
        <f>IF(AND('Mapa final'!$AL$39="Media",'Mapa final'!$AN$39="Mayor"),CONCATENATE("R2C",'Mapa final'!$U$39),"")</f>
        <v/>
      </c>
      <c r="AH35" s="40" t="str">
        <f>IF(AND('Mapa final'!$AL$40="Media",'Mapa final'!$AN$40="Mayor"),CONCATENATE("R2C",'Mapa final'!$U$40),"")</f>
        <v/>
      </c>
      <c r="AI35" s="41" t="str">
        <f>IF(AND('Mapa final'!$AL$35="Media",'Mapa final'!$AN$35="Catastrófico"),CONCATENATE("R2C",'Mapa final'!$U$35),"")</f>
        <v/>
      </c>
      <c r="AJ35" s="42" t="str">
        <f>IF(AND('Mapa final'!$AL$36="Media",'Mapa final'!$AN$36="Catastrófico"),CONCATENATE("R2C",'Mapa final'!$U$36),"")</f>
        <v/>
      </c>
      <c r="AK35" s="42" t="str">
        <f>IF(AND('Mapa final'!$AL$37="Media",'Mapa final'!$AN$37="Catastrófico"),CONCATENATE("R2C",'Mapa final'!$U$37),"")</f>
        <v/>
      </c>
      <c r="AL35" s="42" t="str">
        <f>IF(AND('Mapa final'!$AL$38="Media",'Mapa final'!$AN$38="Catastrófico"),CONCATENATE("R2C",'Mapa final'!$U$38),"")</f>
        <v/>
      </c>
      <c r="AM35" s="42" t="str">
        <f>IF(AND('Mapa final'!$AL$39="Media",'Mapa final'!$AN$39="LCatastrófico"),CONCATENATE("R2C",'Mapa final'!$U$39),"")</f>
        <v/>
      </c>
      <c r="AN35" s="43" t="str">
        <f>IF(AND('Mapa final'!$AL$40="Media",'Mapa final'!$AN$40="Catastrófico"),CONCATENATE("R2C",'Mapa final'!$U$40),"")</f>
        <v/>
      </c>
      <c r="AO35" s="69"/>
      <c r="AP35" s="517"/>
      <c r="AQ35" s="518"/>
      <c r="AR35" s="518"/>
      <c r="AS35" s="518"/>
      <c r="AT35" s="518"/>
      <c r="AU35" s="51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433"/>
      <c r="D36" s="433"/>
      <c r="E36" s="434"/>
      <c r="F36" s="476"/>
      <c r="G36" s="477"/>
      <c r="H36" s="477"/>
      <c r="I36" s="477"/>
      <c r="J36" s="478"/>
      <c r="K36" s="53" t="str">
        <f>IF(AND('Mapa final'!$AL$41="Media",'Mapa final'!$AN$41="Leve"),CONCATENATE("R2C",'Mapa final'!$U$41),"")</f>
        <v/>
      </c>
      <c r="L36" s="54" t="str">
        <f>IF(AND('Mapa final'!$AL$42="Media",'Mapa final'!$AN$42="Leve"),CONCATENATE("R2C",'Mapa final'!$U$42),"")</f>
        <v/>
      </c>
      <c r="M36" s="54" t="str">
        <f>IF(AND('Mapa final'!$AL$43="Media",'Mapa final'!$AN$43="Leve"),CONCATENATE("R2C",'Mapa final'!$U$43),"")</f>
        <v/>
      </c>
      <c r="N36" s="54" t="str">
        <f>IF(AND('Mapa final'!$AL$44="Media",'Mapa final'!$AN$44="Leve"),CONCATENATE("R2C",'Mapa final'!$U$44),"")</f>
        <v/>
      </c>
      <c r="O36" s="54" t="str">
        <f>IF(AND('Mapa final'!$AL$45="Media",'Mapa final'!$AN$45="Leve"),CONCATENATE("R2C",'Mapa final'!$U$45),"")</f>
        <v/>
      </c>
      <c r="P36" s="55" t="str">
        <f>IF(AND('Mapa final'!$AL$46="Media",'Mapa final'!$AN$46="Leve"),CONCATENATE("R2C",'Mapa final'!$U$46),"")</f>
        <v/>
      </c>
      <c r="Q36" s="53" t="str">
        <f>IF(AND('Mapa final'!$AL$41="Media",'Mapa final'!$AN$41="Menor"),CONCATENATE("R2C",'Mapa final'!$U$41),"")</f>
        <v/>
      </c>
      <c r="R36" s="54" t="str">
        <f>IF(AND('Mapa final'!$AL$42="Media",'Mapa final'!$AN$42="Menor"),CONCATENATE("R2C",'Mapa final'!$U$42),"")</f>
        <v/>
      </c>
      <c r="S36" s="54" t="str">
        <f>IF(AND('Mapa final'!$AL$43="Media",'Mapa final'!$AN$43="Menor"),CONCATENATE("R2C",'Mapa final'!$U$43),"")</f>
        <v/>
      </c>
      <c r="T36" s="54" t="str">
        <f>IF(AND('Mapa final'!$AL$44="Media",'Mapa final'!$AN$44="Menor"),CONCATENATE("R2C",'Mapa final'!$U$44),"")</f>
        <v/>
      </c>
      <c r="U36" s="54" t="str">
        <f>IF(AND('Mapa final'!$AL$45="Media",'Mapa final'!$AN$45="Menor"),CONCATENATE("R2C",'Mapa final'!$U$45),"")</f>
        <v/>
      </c>
      <c r="V36" s="55" t="str">
        <f>IF(AND('Mapa final'!$AL$46="Media",'Mapa final'!$AN$46="Menor"),CONCATENATE("R2C",'Mapa final'!$U$46),"")</f>
        <v/>
      </c>
      <c r="W36" s="53" t="str">
        <f>IF(AND('Mapa final'!$AL$41="Media",'Mapa final'!$AN$41="Moderado"),CONCATENATE("R2C",'Mapa final'!$U$41),"")</f>
        <v/>
      </c>
      <c r="X36" s="54" t="str">
        <f>IF(AND('Mapa final'!$AL$42="Media",'Mapa final'!$AN$42="Moderado"),CONCATENATE("R2C",'Mapa final'!$U$42),"")</f>
        <v/>
      </c>
      <c r="Y36" s="54" t="str">
        <f>IF(AND('Mapa final'!$AL$43="Media",'Mapa final'!$AN$43="Moderado"),CONCATENATE("R2C",'Mapa final'!$U$43),"")</f>
        <v/>
      </c>
      <c r="Z36" s="54" t="str">
        <f>IF(AND('Mapa final'!$AL$44="Media",'Mapa final'!$AN$44="Moderado"),CONCATENATE("R2C",'Mapa final'!$U$44),"")</f>
        <v/>
      </c>
      <c r="AA36" s="54" t="str">
        <f>IF(AND('Mapa final'!$AL$45="Media",'Mapa final'!$AN$45="Moderado"),CONCATENATE("R2C",'Mapa final'!$U$45),"")</f>
        <v/>
      </c>
      <c r="AB36" s="55" t="str">
        <f>IF(AND('Mapa final'!$AL$46="Media",'Mapa final'!$AN$46="Moderado"),CONCATENATE("R2C",'Mapa final'!$U$46),"")</f>
        <v/>
      </c>
      <c r="AC36" s="38" t="str">
        <f>IF(AND('Mapa final'!$AL$41="Media",'Mapa final'!$AN$41="Mayor"),CONCATENATE("R2C",'Mapa final'!$U$41),"")</f>
        <v/>
      </c>
      <c r="AD36" s="39" t="str">
        <f>IF(AND('Mapa final'!$AL$42="Media",'Mapa final'!$AN$42="Mayor"),CONCATENATE("R2C",'Mapa final'!$U$42),"")</f>
        <v/>
      </c>
      <c r="AE36" s="39" t="str">
        <f>IF(AND('Mapa final'!$AL$43="Media",'Mapa final'!$AN$43="Mayor"),CONCATENATE("R2C",'Mapa final'!$U$43),"")</f>
        <v/>
      </c>
      <c r="AF36" s="39" t="str">
        <f>IF(AND('Mapa final'!$AL$44="Media",'Mapa final'!$AN$44="Mayor"),CONCATENATE("R2C",'Mapa final'!$U$44),"")</f>
        <v/>
      </c>
      <c r="AG36" s="39" t="str">
        <f>IF(AND('Mapa final'!$AL$45="Media",'Mapa final'!$AN$45="Mayor"),CONCATENATE("R2C",'Mapa final'!$U$45),"")</f>
        <v/>
      </c>
      <c r="AH36" s="40" t="str">
        <f>IF(AND('Mapa final'!$AL$46="Media",'Mapa final'!$AN$46="Mayor"),CONCATENATE("R2C",'Mapa final'!$U$46),"")</f>
        <v/>
      </c>
      <c r="AI36" s="41" t="str">
        <f>IF(AND('Mapa final'!$AL$41="Media",'Mapa final'!$AN$41="Catastrófico"),CONCATENATE("R2C",'Mapa final'!$U$41),"")</f>
        <v/>
      </c>
      <c r="AJ36" s="42" t="str">
        <f>IF(AND('Mapa final'!$AL$42="Media",'Mapa final'!$AN$42="Catastrófico"),CONCATENATE("R2C",'Mapa final'!$U$42),"")</f>
        <v/>
      </c>
      <c r="AK36" s="42" t="str">
        <f>IF(AND('Mapa final'!$AL$43="Media",'Mapa final'!$AN$43="Catastrófico"),CONCATENATE("R2C",'Mapa final'!$U$43),"")</f>
        <v/>
      </c>
      <c r="AL36" s="42" t="str">
        <f>IF(AND('Mapa final'!$AL$44="Media",'Mapa final'!$AN$44="Catastrófico"),CONCATENATE("R2C",'Mapa final'!$U$44),"")</f>
        <v/>
      </c>
      <c r="AM36" s="42" t="str">
        <f>IF(AND('Mapa final'!$AL$45="Media",'Mapa final'!$AN$45="Catastrófico"),CONCATENATE("R2C",'Mapa final'!$U$45),"")</f>
        <v/>
      </c>
      <c r="AN36" s="43" t="str">
        <f>IF(AND('Mapa final'!$AL$46="Media",'Mapa final'!$AN$46="Catastrófico"),CONCATENATE("R2C",'Mapa final'!$U$46),"")</f>
        <v/>
      </c>
      <c r="AO36" s="69"/>
      <c r="AP36" s="517"/>
      <c r="AQ36" s="518"/>
      <c r="AR36" s="518"/>
      <c r="AS36" s="518"/>
      <c r="AT36" s="518"/>
      <c r="AU36" s="51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433"/>
      <c r="D37" s="433"/>
      <c r="E37" s="434"/>
      <c r="F37" s="476"/>
      <c r="G37" s="477"/>
      <c r="H37" s="477"/>
      <c r="I37" s="477"/>
      <c r="J37" s="478"/>
      <c r="K37" s="53" t="str">
        <f>IF(AND('Mapa final'!$AL$47="Media",'Mapa final'!$AN$47="Leve"),CONCATENATE("R2C",'Mapa final'!$U$47),"")</f>
        <v/>
      </c>
      <c r="L37" s="54" t="str">
        <f>IF(AND('Mapa final'!$AL$48="Media",'Mapa final'!$AN$48="Leve"),CONCATENATE("R2C",'Mapa final'!$U$48),"")</f>
        <v/>
      </c>
      <c r="M37" s="54" t="str">
        <f>IF(AND('Mapa final'!$AL$49="Media",'Mapa final'!$AN$49="Leve"),CONCATENATE("R2C",'Mapa final'!$U$49),"")</f>
        <v/>
      </c>
      <c r="N37" s="54" t="str">
        <f>IF(AND('Mapa final'!$AL$50="Media",'Mapa final'!$AN$50="Leve"),CONCATENATE("R2C",'Mapa final'!$U$50),"")</f>
        <v/>
      </c>
      <c r="O37" s="54" t="str">
        <f>IF(AND('Mapa final'!$AL$51="Media",'Mapa final'!$AN$51="Leve"),CONCATENATE("R2C",'Mapa final'!$U$51),"")</f>
        <v/>
      </c>
      <c r="P37" s="55" t="str">
        <f>IF(AND('Mapa final'!$AL$62="Media",'Mapa final'!$AN$52="Leve"),CONCATENATE("R2C",'Mapa final'!$U$52),"")</f>
        <v/>
      </c>
      <c r="Q37" s="53" t="str">
        <f>IF(AND('Mapa final'!$AL$47="Media",'Mapa final'!$AN$47="Menor"),CONCATENATE("R2C",'Mapa final'!$U$47),"")</f>
        <v/>
      </c>
      <c r="R37" s="54" t="str">
        <f>IF(AND('Mapa final'!$AL$48="Media",'Mapa final'!$AN$48="Menor"),CONCATENATE("R2C",'Mapa final'!$U$48),"")</f>
        <v/>
      </c>
      <c r="S37" s="54" t="str">
        <f>IF(AND('Mapa final'!$AL$49="Media",'Mapa final'!$AN$49="Menor"),CONCATENATE("R2C",'Mapa final'!$U$49),"")</f>
        <v/>
      </c>
      <c r="T37" s="54" t="str">
        <f>IF(AND('Mapa final'!$AL$50="Media",'Mapa final'!$AN$50="Menor"),CONCATENATE("R2C",'Mapa final'!$U$50),"")</f>
        <v/>
      </c>
      <c r="U37" s="54" t="str">
        <f>IF(AND('Mapa final'!$AL$51="Media",'Mapa final'!$AN$51="Menor"),CONCATENATE("R2C",'Mapa final'!$U$51),"")</f>
        <v/>
      </c>
      <c r="V37" s="55" t="str">
        <f>IF(AND('Mapa final'!$AL$62="Media",'Mapa final'!$AN$52="Menor"),CONCATENATE("R2C",'Mapa final'!$U$52),"")</f>
        <v/>
      </c>
      <c r="W37" s="53" t="str">
        <f>IF(AND('Mapa final'!$AL$47="Media",'Mapa final'!$AN$47="Moderado"),CONCATENATE("R2C",'Mapa final'!$U$47),"")</f>
        <v/>
      </c>
      <c r="X37" s="54" t="str">
        <f>IF(AND('Mapa final'!$AL$48="Media",'Mapa final'!$AN$48="Moderado"),CONCATENATE("R2C",'Mapa final'!$U$48),"")</f>
        <v/>
      </c>
      <c r="Y37" s="54" t="str">
        <f>IF(AND('Mapa final'!$AL$49="Media",'Mapa final'!$AN$49="Moderado"),CONCATENATE("R2C",'Mapa final'!$U$49),"")</f>
        <v/>
      </c>
      <c r="Z37" s="54" t="str">
        <f>IF(AND('Mapa final'!$AL$50="Media",'Mapa final'!$AN$50="Moderado"),CONCATENATE("R2C",'Mapa final'!$U$50),"")</f>
        <v/>
      </c>
      <c r="AA37" s="54" t="str">
        <f>IF(AND('Mapa final'!$AL$51="Media",'Mapa final'!$AN$51="Moderado"),CONCATENATE("R2C",'Mapa final'!$U$51),"")</f>
        <v/>
      </c>
      <c r="AB37" s="55" t="str">
        <f>IF(AND('Mapa final'!$AL$62="Media",'Mapa final'!$AN$52="Moderado"),CONCATENATE("R2C",'Mapa final'!$U$52),"")</f>
        <v/>
      </c>
      <c r="AC37" s="38" t="str">
        <f>IF(AND('Mapa final'!$AL$47="Media",'Mapa final'!$AN$47="Mayor"),CONCATENATE("R2C",'Mapa final'!$U$47),"")</f>
        <v/>
      </c>
      <c r="AD37" s="39" t="str">
        <f>IF(AND('Mapa final'!$AL$48="Media",'Mapa final'!$AN$48="Mayor"),CONCATENATE("R2C",'Mapa final'!$U$48),"")</f>
        <v/>
      </c>
      <c r="AE37" s="39" t="str">
        <f>IF(AND('Mapa final'!$AL$49="Media",'Mapa final'!$AN$49="Mayor"),CONCATENATE("R2C",'Mapa final'!$U$49),"")</f>
        <v/>
      </c>
      <c r="AF37" s="39" t="str">
        <f>IF(AND('Mapa final'!$AL$50="Media",'Mapa final'!$AN$50="Mayor"),CONCATENATE("R2C",'Mapa final'!$U$50),"")</f>
        <v/>
      </c>
      <c r="AG37" s="39" t="str">
        <f>IF(AND('Mapa final'!$AL$51="Media",'Mapa final'!$AN$51="Mayor"),CONCATENATE("R2C",'Mapa final'!$U$51),"")</f>
        <v/>
      </c>
      <c r="AH37" s="40" t="str">
        <f>IF(AND('Mapa final'!$AL$62="Media",'Mapa final'!$AN$52="Mayor"),CONCATENATE("R2C",'Mapa final'!$U$52),"")</f>
        <v/>
      </c>
      <c r="AI37" s="41" t="str">
        <f>IF(AND('Mapa final'!$AL$47="Media",'Mapa final'!$AN$47="Catastrófico"),CONCATENATE("R2C",'Mapa final'!$U$47),"")</f>
        <v/>
      </c>
      <c r="AJ37" s="42" t="str">
        <f>IF(AND('Mapa final'!$AL$48="Media",'Mapa final'!$AN$48="Catastrófico"),CONCATENATE("R2C",'Mapa final'!$U$48),"")</f>
        <v/>
      </c>
      <c r="AK37" s="42" t="str">
        <f>IF(AND('Mapa final'!$AL$49="Media",'Mapa final'!$AN$49="Catastrófico"),CONCATENATE("R2C",'Mapa final'!$U$49),"")</f>
        <v/>
      </c>
      <c r="AL37" s="42" t="str">
        <f>IF(AND('Mapa final'!$AL$50="Media",'Mapa final'!$AN$50="Catastrófico"),CONCATENATE("R2C",'Mapa final'!$U$50),"")</f>
        <v/>
      </c>
      <c r="AM37" s="42" t="str">
        <f>IF(AND('Mapa final'!$AL$51="Media",'Mapa final'!$AN$51="Catastrófico"),CONCATENATE("R2C",'Mapa final'!$U$51),"")</f>
        <v/>
      </c>
      <c r="AN37" s="43" t="str">
        <f>IF(AND('Mapa final'!$AL$62="Media",'Mapa final'!$AN$52="Catastrófico"),CONCATENATE("R2C",'Mapa final'!$U$52),"")</f>
        <v/>
      </c>
      <c r="AO37" s="69"/>
      <c r="AP37" s="517"/>
      <c r="AQ37" s="518"/>
      <c r="AR37" s="518"/>
      <c r="AS37" s="518"/>
      <c r="AT37" s="518"/>
      <c r="AU37" s="51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433"/>
      <c r="D38" s="433"/>
      <c r="E38" s="434"/>
      <c r="F38" s="476"/>
      <c r="G38" s="477"/>
      <c r="H38" s="477"/>
      <c r="I38" s="477"/>
      <c r="J38" s="478"/>
      <c r="K38" s="53" t="str">
        <f>IF(AND('Mapa final'!$AL$53="Media",'Mapa final'!$AN$53="Leve"),CONCATENATE("R2C",'Mapa final'!$U$53),"")</f>
        <v/>
      </c>
      <c r="L38" s="54" t="str">
        <f>IF(AND('Mapa final'!$AL$54="Media",'Mapa final'!$AN$54="Leve"),CONCATENATE("R2C",'Mapa final'!$U$54),"")</f>
        <v/>
      </c>
      <c r="M38" s="54" t="str">
        <f>IF(AND('Mapa final'!$AL$55="Media",'Mapa final'!$AN$55="Leve"),CONCATENATE("R2C",'Mapa final'!$U$55),"")</f>
        <v/>
      </c>
      <c r="N38" s="54" t="str">
        <f>IF(AND('Mapa final'!$AL$56="Media",'Mapa final'!$AN$56="Leve"),CONCATENATE("R2C",'Mapa final'!$U$56),"")</f>
        <v/>
      </c>
      <c r="O38" s="54" t="str">
        <f>IF(AND('Mapa final'!$AL$57="Media",'Mapa final'!$AN$57="Leve"),CONCATENATE("R2C",'Mapa final'!$U$57),"")</f>
        <v/>
      </c>
      <c r="P38" s="55" t="str">
        <f>IF(AND('Mapa final'!$AL$58="Media",'Mapa final'!$AN$58="Leve"),CONCATENATE("R2C",'Mapa final'!$U$58),"")</f>
        <v/>
      </c>
      <c r="Q38" s="53" t="str">
        <f>IF(AND('Mapa final'!$AL$53="Media",'Mapa final'!$AN$53="Menor"),CONCATENATE("R2C",'Mapa final'!$U$53),"")</f>
        <v/>
      </c>
      <c r="R38" s="54" t="str">
        <f>IF(AND('Mapa final'!$AL$54="Media",'Mapa final'!$AN$54="Menor"),CONCATENATE("R2C",'Mapa final'!$U$54),"")</f>
        <v/>
      </c>
      <c r="S38" s="54" t="str">
        <f>IF(AND('Mapa final'!$AL$55="Media",'Mapa final'!$AN$55="Menor"),CONCATENATE("R2C",'Mapa final'!$U$55),"")</f>
        <v/>
      </c>
      <c r="T38" s="54" t="str">
        <f>IF(AND('Mapa final'!$AL$56="Media",'Mapa final'!$AN$56="Menor"),CONCATENATE("R2C",'Mapa final'!$U$56),"")</f>
        <v/>
      </c>
      <c r="U38" s="54" t="str">
        <f>IF(AND('Mapa final'!$AL$57="Media",'Mapa final'!$AN$57="Menor"),CONCATENATE("R2C",'Mapa final'!$U$57),"")</f>
        <v/>
      </c>
      <c r="V38" s="55" t="str">
        <f>IF(AND('Mapa final'!$AL$58="Media",'Mapa final'!$AN$58="Menor"),CONCATENATE("R2C",'Mapa final'!$U$58),"")</f>
        <v/>
      </c>
      <c r="W38" s="53" t="str">
        <f>IF(AND('Mapa final'!$AL$53="Media",'Mapa final'!$AN$53="Moderado"),CONCATENATE("R2C",'Mapa final'!$U$53),"")</f>
        <v/>
      </c>
      <c r="X38" s="54" t="str">
        <f>IF(AND('Mapa final'!$AL$54="Media",'Mapa final'!$AN$54="Moderado"),CONCATENATE("R2C",'Mapa final'!$U$54),"")</f>
        <v/>
      </c>
      <c r="Y38" s="54" t="str">
        <f>IF(AND('Mapa final'!$AL$55="Media",'Mapa final'!$AN$55="Moderado"),CONCATENATE("R2C",'Mapa final'!$U$55),"")</f>
        <v/>
      </c>
      <c r="Z38" s="54" t="str">
        <f>IF(AND('Mapa final'!$AL$56="Media",'Mapa final'!$AN$56="Moderado"),CONCATENATE("R2C",'Mapa final'!$U$56),"")</f>
        <v/>
      </c>
      <c r="AA38" s="54" t="str">
        <f>IF(AND('Mapa final'!$AL$57="Media",'Mapa final'!$AN$57="Moderado"),CONCATENATE("R2C",'Mapa final'!$U$57),"")</f>
        <v/>
      </c>
      <c r="AB38" s="55" t="str">
        <f>IF(AND('Mapa final'!$AL$58="Media",'Mapa final'!$AN$58="Moderado"),CONCATENATE("R2C",'Mapa final'!$U$58),"")</f>
        <v/>
      </c>
      <c r="AC38" s="38" t="str">
        <f>IF(AND('Mapa final'!$AL$53="Media",'Mapa final'!$AN$53="Mayor"),CONCATENATE("R2C",'Mapa final'!$U$53),"")</f>
        <v/>
      </c>
      <c r="AD38" s="39" t="str">
        <f>IF(AND('Mapa final'!$AL$54="Media",'Mapa final'!$AN$54="Mayor"),CONCATENATE("R2C",'Mapa final'!$U$54),"")</f>
        <v/>
      </c>
      <c r="AE38" s="39" t="str">
        <f>IF(AND('Mapa final'!$AL$55="Media",'Mapa final'!$AN$55="Mayor"),CONCATENATE("R2C",'Mapa final'!$U$55),"")</f>
        <v/>
      </c>
      <c r="AF38" s="39" t="str">
        <f>IF(AND('Mapa final'!$AL$56="Media",'Mapa final'!$AN$56="Mayor"),CONCATENATE("R2C",'Mapa final'!$U$56),"")</f>
        <v/>
      </c>
      <c r="AG38" s="39" t="str">
        <f>IF(AND('Mapa final'!$AL$57="Media",'Mapa final'!$AN$57="Mayor"),CONCATENATE("R2C",'Mapa final'!$U$57),"")</f>
        <v/>
      </c>
      <c r="AH38" s="40" t="str">
        <f>IF(AND('Mapa final'!$AL$58="Media",'Mapa final'!$AN$58="Mayor"),CONCATENATE("R2C",'Mapa final'!$U$58),"")</f>
        <v/>
      </c>
      <c r="AI38" s="41" t="str">
        <f>IF(AND('Mapa final'!$AL$53="Media",'Mapa final'!$AN$53="Catastrófico"),CONCATENATE("R2C",'Mapa final'!$U$53),"")</f>
        <v/>
      </c>
      <c r="AJ38" s="42" t="str">
        <f>IF(AND('Mapa final'!$AL$54="Media",'Mapa final'!$AN$54="Catastrófico"),CONCATENATE("R2C",'Mapa final'!$U$54),"")</f>
        <v/>
      </c>
      <c r="AK38" s="42" t="str">
        <f>IF(AND('Mapa final'!$AL$55="Media",'Mapa final'!$AN$55="Catastrófico"),CONCATENATE("R2C",'Mapa final'!$U$55),"")</f>
        <v/>
      </c>
      <c r="AL38" s="42" t="str">
        <f>IF(AND('Mapa final'!$AL$56="Media",'Mapa final'!$AN$56="Catastrófico"),CONCATENATE("R2C",'Mapa final'!$U$56),"")</f>
        <v/>
      </c>
      <c r="AM38" s="42" t="str">
        <f>IF(AND('Mapa final'!$AL$57="Media",'Mapa final'!$AN$57="Catastrófico"),CONCATENATE("R2C",'Mapa final'!$U$57),"")</f>
        <v/>
      </c>
      <c r="AN38" s="43" t="str">
        <f>IF(AND('Mapa final'!$AL$58="Media",'Mapa final'!$AN$58="Catastrófico"),CONCATENATE("R2C",'Mapa final'!$U$58),"")</f>
        <v/>
      </c>
      <c r="AO38" s="69"/>
      <c r="AP38" s="517"/>
      <c r="AQ38" s="518"/>
      <c r="AR38" s="518"/>
      <c r="AS38" s="518"/>
      <c r="AT38" s="518"/>
      <c r="AU38" s="51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433"/>
      <c r="D39" s="433"/>
      <c r="E39" s="434"/>
      <c r="F39" s="476"/>
      <c r="G39" s="477"/>
      <c r="H39" s="477"/>
      <c r="I39" s="477"/>
      <c r="J39" s="478"/>
      <c r="K39" s="53" t="str">
        <f>IF(AND('Mapa final'!$AL$59="Media",'Mapa final'!$AN$59="Leve"),CONCATENATE("R2C",'Mapa final'!$U$59),"")</f>
        <v/>
      </c>
      <c r="L39" s="54" t="str">
        <f>IF(AND('Mapa final'!$AL$60="Media",'Mapa final'!$AN$60="Leve"),CONCATENATE("R2C",'Mapa final'!$U$60),"")</f>
        <v/>
      </c>
      <c r="M39" s="54" t="str">
        <f>IF(AND('Mapa final'!$AL$61="Media",'Mapa final'!$AN$61="Leve"),CONCATENATE("R2C",'Mapa final'!$U$61),"")</f>
        <v/>
      </c>
      <c r="N39" s="54" t="str">
        <f>IF(AND('Mapa final'!$AL$62="Media",'Mapa final'!$AN$62="Leve"),CONCATENATE("R2C",'Mapa final'!$U$62),"")</f>
        <v/>
      </c>
      <c r="O39" s="54" t="str">
        <f>IF(AND('Mapa final'!$AL$63="Media",'Mapa final'!$AN$63="Leve"),CONCATENATE("R2C",'Mapa final'!$U$63),"")</f>
        <v/>
      </c>
      <c r="P39" s="55" t="str">
        <f>IF(AND('Mapa final'!$AL$64="Media",'Mapa final'!$AN$64="Leve"),CONCATENATE("R2C",'Mapa final'!$U$64),"")</f>
        <v/>
      </c>
      <c r="Q39" s="53" t="str">
        <f>IF(AND('Mapa final'!$AL$59="Media",'Mapa final'!$AN$59="Menor"),CONCATENATE("R2C",'Mapa final'!$U$59),"")</f>
        <v/>
      </c>
      <c r="R39" s="54" t="str">
        <f>IF(AND('Mapa final'!$AL$60="Media",'Mapa final'!$AN$60="Menor"),CONCATENATE("R2C",'Mapa final'!$U$60),"")</f>
        <v/>
      </c>
      <c r="S39" s="54" t="str">
        <f>IF(AND('Mapa final'!$AL$61="Media",'Mapa final'!$AN$61="Menor"),CONCATENATE("R2C",'Mapa final'!$U$61),"")</f>
        <v/>
      </c>
      <c r="T39" s="54" t="str">
        <f>IF(AND('Mapa final'!$AL$62="Media",'Mapa final'!$AN$62="Menor"),CONCATENATE("R2C",'Mapa final'!$U$62),"")</f>
        <v/>
      </c>
      <c r="U39" s="54" t="str">
        <f>IF(AND('Mapa final'!$AL$63="Media",'Mapa final'!$AN$63="Menor"),CONCATENATE("R2C",'Mapa final'!$U$63),"")</f>
        <v/>
      </c>
      <c r="V39" s="55" t="str">
        <f>IF(AND('Mapa final'!$AL$64="Media",'Mapa final'!$AN$64="Menor"),CONCATENATE("R2C",'Mapa final'!$U$64),"")</f>
        <v/>
      </c>
      <c r="W39" s="53" t="str">
        <f>IF(AND('Mapa final'!$AL$59="Media",'Mapa final'!$AN$59="Moderado"),CONCATENATE("R2C",'Mapa final'!$U$59),"")</f>
        <v/>
      </c>
      <c r="X39" s="54" t="str">
        <f>IF(AND('Mapa final'!$AL$60="Media",'Mapa final'!$AN$60="Moderado"),CONCATENATE("R2C",'Mapa final'!$U$60),"")</f>
        <v/>
      </c>
      <c r="Y39" s="54" t="str">
        <f>IF(AND('Mapa final'!$AL$61="Media",'Mapa final'!$AN$61="Moderado"),CONCATENATE("R2C",'Mapa final'!$U$61),"")</f>
        <v/>
      </c>
      <c r="Z39" s="54" t="str">
        <f>IF(AND('Mapa final'!$AL$62="Media",'Mapa final'!$AN$62="Moderado"),CONCATENATE("R2C",'Mapa final'!$U$62),"")</f>
        <v/>
      </c>
      <c r="AA39" s="54" t="str">
        <f>IF(AND('Mapa final'!$AL$63="Media",'Mapa final'!$AN$63="Moderado"),CONCATENATE("R2C",'Mapa final'!$U$63),"")</f>
        <v/>
      </c>
      <c r="AB39" s="55" t="str">
        <f>IF(AND('Mapa final'!$AL$64="Media",'Mapa final'!$AN$64="Moderado"),CONCATENATE("R2C",'Mapa final'!$U$64),"")</f>
        <v/>
      </c>
      <c r="AC39" s="38" t="str">
        <f>IF(AND('Mapa final'!$AL$59="Media",'Mapa final'!$AN$59="Mayor"),CONCATENATE("R2C",'Mapa final'!$U$59),"")</f>
        <v/>
      </c>
      <c r="AD39" s="39" t="str">
        <f>IF(AND('Mapa final'!$AL$60="Media",'Mapa final'!$AN$60="Mayor"),CONCATENATE("R2C",'Mapa final'!$U$60),"")</f>
        <v/>
      </c>
      <c r="AE39" s="39" t="str">
        <f>IF(AND('Mapa final'!$AL$61="Media",'Mapa final'!$AN$61="Mayor"),CONCATENATE("R2C",'Mapa final'!$U$61),"")</f>
        <v/>
      </c>
      <c r="AF39" s="39" t="str">
        <f>IF(AND('Mapa final'!$AL$62="Media",'Mapa final'!$AN$62="Mayor"),CONCATENATE("R2C",'Mapa final'!$U$62),"")</f>
        <v/>
      </c>
      <c r="AG39" s="39" t="str">
        <f>IF(AND('Mapa final'!$AL$63="Media",'Mapa final'!$AN$63="Mayor"),CONCATENATE("R2C",'Mapa final'!$U$63),"")</f>
        <v/>
      </c>
      <c r="AH39" s="40" t="str">
        <f>IF(AND('Mapa final'!$AL$64="Media",'Mapa final'!$AN$64="Mayor"),CONCATENATE("R2C",'Mapa final'!$U$64),"")</f>
        <v/>
      </c>
      <c r="AI39" s="41" t="str">
        <f>IF(AND('Mapa final'!$AL$59="Media",'Mapa final'!$AN$59="Catastrófico"),CONCATENATE("R2C",'Mapa final'!$U$59),"")</f>
        <v/>
      </c>
      <c r="AJ39" s="42" t="str">
        <f>IF(AND('Mapa final'!$AL$60="Media",'Mapa final'!$AN$60="Catastrófico"),CONCATENATE("R2C",'Mapa final'!$U$60),"")</f>
        <v/>
      </c>
      <c r="AK39" s="42" t="str">
        <f>IF(AND('Mapa final'!$AL$61="Media",'Mapa final'!$AN$61="Catastrófico"),CONCATENATE("R2C",'Mapa final'!$U$61),"")</f>
        <v/>
      </c>
      <c r="AL39" s="42" t="str">
        <f>IF(AND('Mapa final'!$AL$62="Media",'Mapa final'!$AN$62="Catastrófico"),CONCATENATE("R2C",'Mapa final'!$U$62),"")</f>
        <v/>
      </c>
      <c r="AM39" s="42" t="str">
        <f>IF(AND('Mapa final'!$AL$63="Media",'Mapa final'!$AN$63="Catastrófico"),CONCATENATE("R2C",'Mapa final'!$U$63),"")</f>
        <v/>
      </c>
      <c r="AN39" s="43" t="str">
        <f>IF(AND('Mapa final'!$AL$64="Media",'Mapa final'!$AN$64="Catastrófico"),CONCATENATE("R2C",'Mapa final'!$U$64),"")</f>
        <v/>
      </c>
      <c r="AO39" s="69"/>
      <c r="AP39" s="517"/>
      <c r="AQ39" s="518"/>
      <c r="AR39" s="518"/>
      <c r="AS39" s="518"/>
      <c r="AT39" s="518"/>
      <c r="AU39" s="51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433"/>
      <c r="D40" s="433"/>
      <c r="E40" s="434"/>
      <c r="F40" s="476"/>
      <c r="G40" s="477"/>
      <c r="H40" s="477"/>
      <c r="I40" s="477"/>
      <c r="J40" s="478"/>
      <c r="K40" s="53" t="str">
        <f>IF(AND('Mapa final'!$AL$65="Media",'Mapa final'!$AN$65="Leve"),CONCATENATE("R2C",'Mapa final'!$U$65),"")</f>
        <v/>
      </c>
      <c r="L40" s="54" t="str">
        <f>IF(AND('Mapa final'!$AL$66="Media",'Mapa final'!$AN$66="Leve"),CONCATENATE("R2C",'Mapa final'!$U$66),"")</f>
        <v/>
      </c>
      <c r="M40" s="54" t="str">
        <f>IF(AND('Mapa final'!$AL$67="Media",'Mapa final'!$AN$67="Leve"),CONCATENATE("R2C",'Mapa final'!$U$67),"")</f>
        <v/>
      </c>
      <c r="N40" s="54" t="str">
        <f>IF(AND('Mapa final'!$AL$68="Media",'Mapa final'!$AN$68="Leve"),CONCATENATE("R2C",'Mapa final'!$U$68),"")</f>
        <v/>
      </c>
      <c r="O40" s="54" t="str">
        <f>IF(AND('Mapa final'!$AL$69="Media",'Mapa final'!$AN$69="Leve"),CONCATENATE("R2C",'Mapa final'!$U$69),"")</f>
        <v/>
      </c>
      <c r="P40" s="55" t="str">
        <f>IF(AND('Mapa final'!$AL$70="Media",'Mapa final'!$AN$70="Leve"),CONCATENATE("R2C",'Mapa final'!$U$70),"")</f>
        <v/>
      </c>
      <c r="Q40" s="53" t="str">
        <f>IF(AND('Mapa final'!$AL$65="Media",'Mapa final'!$AN$65="Menor"),CONCATENATE("R2C",'Mapa final'!$U$65),"")</f>
        <v/>
      </c>
      <c r="R40" s="54" t="str">
        <f>IF(AND('Mapa final'!$AL$66="Media",'Mapa final'!$AN$66="Menor"),CONCATENATE("R2C",'Mapa final'!$U$66),"")</f>
        <v/>
      </c>
      <c r="S40" s="54" t="str">
        <f>IF(AND('Mapa final'!$AL$67="Media",'Mapa final'!$AN$67="Menor"),CONCATENATE("R2C",'Mapa final'!$U$67),"")</f>
        <v/>
      </c>
      <c r="T40" s="54" t="str">
        <f>IF(AND('Mapa final'!$AL$68="Media",'Mapa final'!$AN$68="Menor"),CONCATENATE("R2C",'Mapa final'!$U$68),"")</f>
        <v/>
      </c>
      <c r="U40" s="54" t="str">
        <f>IF(AND('Mapa final'!$AL$69="Media",'Mapa final'!$AN$69="Menor"),CONCATENATE("R2C",'Mapa final'!$U$69),"")</f>
        <v/>
      </c>
      <c r="V40" s="55" t="str">
        <f>IF(AND('Mapa final'!$AL$70="Media",'Mapa final'!$AN$70="Menor"),CONCATENATE("R2C",'Mapa final'!$U$70),"")</f>
        <v/>
      </c>
      <c r="W40" s="53" t="str">
        <f>IF(AND('Mapa final'!$AL$65="Media",'Mapa final'!$AN$65="Moderado"),CONCATENATE("R2C",'Mapa final'!$U$65),"")</f>
        <v/>
      </c>
      <c r="X40" s="54" t="str">
        <f>IF(AND('Mapa final'!$AL$66="Media",'Mapa final'!$AN$66="Moderado"),CONCATENATE("R2C",'Mapa final'!$U$66),"")</f>
        <v/>
      </c>
      <c r="Y40" s="54" t="str">
        <f>IF(AND('Mapa final'!$AL$67="Media",'Mapa final'!$AN$67="Moderado"),CONCATENATE("R2C",'Mapa final'!$U$67),"")</f>
        <v/>
      </c>
      <c r="Z40" s="54" t="str">
        <f>IF(AND('Mapa final'!$AL$68="Media",'Mapa final'!$AN$68="Moderado"),CONCATENATE("R2C",'Mapa final'!$U$68),"")</f>
        <v/>
      </c>
      <c r="AA40" s="54" t="str">
        <f>IF(AND('Mapa final'!$AL$69="Media",'Mapa final'!$AN$69="Moderado"),CONCATENATE("R2C",'Mapa final'!$U$69),"")</f>
        <v/>
      </c>
      <c r="AB40" s="55" t="str">
        <f>IF(AND('Mapa final'!$AL$70="Media",'Mapa final'!$AN$70="Moderado"),CONCATENATE("R2C",'Mapa final'!$U$70),"")</f>
        <v/>
      </c>
      <c r="AC40" s="38" t="str">
        <f>IF(AND('Mapa final'!$AL$65="Media",'Mapa final'!$AN$65="Mayor"),CONCATENATE("R2C",'Mapa final'!$U$65),"")</f>
        <v/>
      </c>
      <c r="AD40" s="39" t="str">
        <f>IF(AND('Mapa final'!$AL$66="Media",'Mapa final'!$AN$66="Mayor"),CONCATENATE("R2C",'Mapa final'!$U$66),"")</f>
        <v/>
      </c>
      <c r="AE40" s="39" t="str">
        <f>IF(AND('Mapa final'!$AL$67="Media",'Mapa final'!$AN$67="Mayor"),CONCATENATE("R2C",'Mapa final'!$U$67),"")</f>
        <v/>
      </c>
      <c r="AF40" s="39" t="str">
        <f>IF(AND('Mapa final'!$AL$68="Media",'Mapa final'!$AN$68="Mayor"),CONCATENATE("R2C",'Mapa final'!$U$68),"")</f>
        <v/>
      </c>
      <c r="AG40" s="39" t="str">
        <f>IF(AND('Mapa final'!$AL$69="Media",'Mapa final'!$AN$69="Mayor"),CONCATENATE("R2C",'Mapa final'!$U$69),"")</f>
        <v/>
      </c>
      <c r="AH40" s="40" t="str">
        <f>IF(AND('Mapa final'!$AL$70="Media",'Mapa final'!$AN$70="Mayor"),CONCATENATE("R2C",'Mapa final'!$U$70),"")</f>
        <v/>
      </c>
      <c r="AI40" s="41" t="str">
        <f>IF(AND('Mapa final'!$AL$65="Media",'Mapa final'!$AN$65="Catastrófico"),CONCATENATE("R2C",'Mapa final'!$U$65),"")</f>
        <v/>
      </c>
      <c r="AJ40" s="42" t="str">
        <f>IF(AND('Mapa final'!$AL$66="Media",'Mapa final'!$AN$66="Catastrófico"),CONCATENATE("R2C",'Mapa final'!$U$66),"")</f>
        <v/>
      </c>
      <c r="AK40" s="42" t="str">
        <f>IF(AND('Mapa final'!$AL$67="Media",'Mapa final'!$AN$67="Catastrófico"),CONCATENATE("R2C",'Mapa final'!$U$67),"")</f>
        <v/>
      </c>
      <c r="AL40" s="42" t="str">
        <f>IF(AND('Mapa final'!$AL$68="Media",'Mapa final'!$AN$68="Catastrófico"),CONCATENATE("R2C",'Mapa final'!$U$68),"")</f>
        <v/>
      </c>
      <c r="AM40" s="42" t="str">
        <f>IF(AND('Mapa final'!$AL$69="Media",'Mapa final'!$AN$69="Catastrófico"),CONCATENATE("R2C",'Mapa final'!$U$69),"")</f>
        <v/>
      </c>
      <c r="AN40" s="43" t="str">
        <f>IF(AND('Mapa final'!$AL$70="Media",'Mapa final'!$AN$70="Catastrófico"),CONCATENATE("R2C",'Mapa final'!$U$70),"")</f>
        <v/>
      </c>
      <c r="AO40" s="69"/>
      <c r="AP40" s="517"/>
      <c r="AQ40" s="518"/>
      <c r="AR40" s="518"/>
      <c r="AS40" s="518"/>
      <c r="AT40" s="518"/>
      <c r="AU40" s="51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433"/>
      <c r="D41" s="433"/>
      <c r="E41" s="434"/>
      <c r="F41" s="479"/>
      <c r="G41" s="480"/>
      <c r="H41" s="480"/>
      <c r="I41" s="480"/>
      <c r="J41" s="481"/>
      <c r="K41" s="53" t="str">
        <f>IF(AND('Mapa final'!$AL$71="Media",'Mapa final'!$AN$71="Leve"),CONCATENATE("R2C",'Mapa final'!$U$71),"")</f>
        <v/>
      </c>
      <c r="L41" s="54" t="str">
        <f>IF(AND('Mapa final'!$AL$72="Media",'Mapa final'!$AN$72="Leve"),CONCATENATE("R2C",'Mapa final'!$U$72),"")</f>
        <v/>
      </c>
      <c r="M41" s="54" t="str">
        <f>IF(AND('Mapa final'!$AL$73="Media",'Mapa final'!$AN$73="Leve"),CONCATENATE("R2C",'Mapa final'!$U$73),"")</f>
        <v/>
      </c>
      <c r="N41" s="54" t="str">
        <f>IF(AND('Mapa final'!$AL$74="Media",'Mapa final'!$AN$74="Leve"),CONCATENATE("R2C",'Mapa final'!$U$74),"")</f>
        <v/>
      </c>
      <c r="O41" s="54" t="str">
        <f>IF(AND('Mapa final'!$AL$76="Media",'Mapa final'!$AN$76="Leve"),CONCATENATE("R2C",'Mapa final'!$U$76),"")</f>
        <v/>
      </c>
      <c r="P41" s="55" t="str">
        <f>IF(AND('Mapa final'!$AL$77="Media",'Mapa final'!$AN$77="Leve"),CONCATENATE("R2C",'Mapa final'!$U$77),"")</f>
        <v/>
      </c>
      <c r="Q41" s="53" t="str">
        <f>IF(AND('Mapa final'!$AL$71="Media",'Mapa final'!$AN$71="Menor"),CONCATENATE("R2C",'Mapa final'!$U$71),"")</f>
        <v/>
      </c>
      <c r="R41" s="54" t="str">
        <f>IF(AND('Mapa final'!$AL$72="Media",'Mapa final'!$AN$72="Menor"),CONCATENATE("R2C",'Mapa final'!$U$72),"")</f>
        <v/>
      </c>
      <c r="S41" s="54" t="str">
        <f>IF(AND('Mapa final'!$AL$73="Media",'Mapa final'!$AN$73="Menor"),CONCATENATE("R2C",'Mapa final'!$U$73),"")</f>
        <v/>
      </c>
      <c r="T41" s="54" t="str">
        <f>IF(AND('Mapa final'!$AL$74="Media",'Mapa final'!$AN$74="Menor"),CONCATENATE("R2C",'Mapa final'!$U$74),"")</f>
        <v/>
      </c>
      <c r="U41" s="54" t="str">
        <f>IF(AND('Mapa final'!$AL$76="Media",'Mapa final'!$AN$76="Menor"),CONCATENATE("R2C",'Mapa final'!$U$76),"")</f>
        <v/>
      </c>
      <c r="V41" s="55" t="str">
        <f>IF(AND('Mapa final'!$AL$77="Media",'Mapa final'!$AN$77="Menor"),CONCATENATE("R2C",'Mapa final'!$U$77),"")</f>
        <v/>
      </c>
      <c r="W41" s="53" t="str">
        <f>IF(AND('Mapa final'!$AL$71="Media",'Mapa final'!$AN$71="Moderado"),CONCATENATE("R2C",'Mapa final'!$U$71),"")</f>
        <v/>
      </c>
      <c r="X41" s="54" t="str">
        <f>IF(AND('Mapa final'!$AL$72="Media",'Mapa final'!$AN$72="Moderado"),CONCATENATE("R2C",'Mapa final'!$U$72),"")</f>
        <v/>
      </c>
      <c r="Y41" s="54" t="str">
        <f>IF(AND('Mapa final'!$AL$73="Media",'Mapa final'!$AN$73="Moderado"),CONCATENATE("R2C",'Mapa final'!$U$73),"")</f>
        <v/>
      </c>
      <c r="Z41" s="54" t="str">
        <f>IF(AND('Mapa final'!$AL$74="Media",'Mapa final'!$AN$74="Moderado"),CONCATENATE("R2C",'Mapa final'!$U$74),"")</f>
        <v/>
      </c>
      <c r="AA41" s="54" t="str">
        <f>IF(AND('Mapa final'!$AL$76="Media",'Mapa final'!$AN$76="Moderado"),CONCATENATE("R2C",'Mapa final'!$U$76),"")</f>
        <v/>
      </c>
      <c r="AB41" s="55" t="str">
        <f>IF(AND('Mapa final'!$AL$77="Media",'Mapa final'!$AN$77="Moderado"),CONCATENATE("R2C",'Mapa final'!$U$77),"")</f>
        <v/>
      </c>
      <c r="AC41" s="38" t="str">
        <f>IF(AND('Mapa final'!$AL$71="Media",'Mapa final'!$AN$71="Mayor"),CONCATENATE("R2C",'Mapa final'!$U$71),"")</f>
        <v/>
      </c>
      <c r="AD41" s="39" t="str">
        <f>IF(AND('Mapa final'!$AL$72="Media",'Mapa final'!$AN$72="Mayor"),CONCATENATE("R2C",'Mapa final'!$U$72),"")</f>
        <v/>
      </c>
      <c r="AE41" s="39" t="str">
        <f>IF(AND('Mapa final'!$AL$73="Media",'Mapa final'!$AN$73="Mayor"),CONCATENATE("R2C",'Mapa final'!$U$73),"")</f>
        <v/>
      </c>
      <c r="AF41" s="39" t="str">
        <f>IF(AND('Mapa final'!$AL$74="Media",'Mapa final'!$AN$74="Mayor"),CONCATENATE("R2C",'Mapa final'!$U$74),"")</f>
        <v/>
      </c>
      <c r="AG41" s="39" t="str">
        <f>IF(AND('Mapa final'!$AL$76="Media",'Mapa final'!$AN$76="Mayor"),CONCATENATE("R2C",'Mapa final'!$U$76),"")</f>
        <v/>
      </c>
      <c r="AH41" s="40" t="str">
        <f>IF(AND('Mapa final'!$AL$77="Media",'Mapa final'!$AN$77="Mayor"),CONCATENATE("R2C",'Mapa final'!$U$77),"")</f>
        <v/>
      </c>
      <c r="AI41" s="47" t="str">
        <f>IF(AND('Mapa final'!$AL$71="Media",'Mapa final'!$AN$71="Catastrófico"),CONCATENATE("R2C",'Mapa final'!$U$71),"")</f>
        <v/>
      </c>
      <c r="AJ41" s="48" t="str">
        <f>IF(AND('Mapa final'!$AL$72="Media",'Mapa final'!$AN$72="Catastrófico"),CONCATENATE("R2C",'Mapa final'!$U$72),"")</f>
        <v/>
      </c>
      <c r="AK41" s="48" t="str">
        <f>IF(AND('Mapa final'!$AL$73="Media",'Mapa final'!$AN$73="Catastrófico"),CONCATENATE("R2C",'Mapa final'!$U$73),"")</f>
        <v/>
      </c>
      <c r="AL41" s="48" t="str">
        <f>IF(AND('Mapa final'!$AL$74="Media",'Mapa final'!$AN$74="Catastrófico"),CONCATENATE("R2C",'Mapa final'!$U$74),"")</f>
        <v/>
      </c>
      <c r="AM41" s="48" t="str">
        <f>IF(AND('Mapa final'!$AL$76="Media",'Mapa final'!$AN$76="Catastrófico"),CONCATENATE("R2C",'Mapa final'!$U$76),"")</f>
        <v/>
      </c>
      <c r="AN41" s="49" t="str">
        <f>IF(AND('Mapa final'!$AL$77="Muy Alta",'Mapa final'!$AN$77="Catastrófico"),CONCATENATE("R2C",'Mapa final'!$U$77),"")</f>
        <v/>
      </c>
      <c r="AO41" s="69"/>
      <c r="AP41" s="520"/>
      <c r="AQ41" s="521"/>
      <c r="AR41" s="521"/>
      <c r="AS41" s="521"/>
      <c r="AT41" s="521"/>
      <c r="AU41" s="522"/>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433"/>
      <c r="D42" s="433"/>
      <c r="E42" s="434"/>
      <c r="F42" s="473" t="s">
        <v>113</v>
      </c>
      <c r="G42" s="474"/>
      <c r="H42" s="474"/>
      <c r="I42" s="474"/>
      <c r="J42" s="474"/>
      <c r="K42" s="59" t="str">
        <f>IF(AND('Mapa final'!$AL$15="Baja",'Mapa final'!$AN$15="Leve"),CONCATENATE("R2C",'Mapa final'!$U$15),"")</f>
        <v/>
      </c>
      <c r="L42" s="60" t="str">
        <f>IF(AND('Mapa final'!$AL$17="Baja",'Mapa final'!$AN$17="Leve"),CONCATENATE("R2C",'Mapa final'!$D$17),"")</f>
        <v/>
      </c>
      <c r="M42" s="60" t="str">
        <f>IF(AND('Mapa final'!$AL$18="Baja",'Mapa final'!$AN$18="Leve"),CONCATENATE("R2C",'Mapa final'!$U$18),"")</f>
        <v/>
      </c>
      <c r="N42" s="60" t="str">
        <f>IF(AND('Mapa final'!$AL$18="Baja",'Mapa final'!$AN$18="Leve"),CONCATENATE("R2C",'Mapa final'!$U$18),"")</f>
        <v/>
      </c>
      <c r="O42" s="60" t="str">
        <f>IF(AND('Mapa final'!$AL$19="Baja",'Mapa final'!$AN$19="Leve"),CONCATENATE("R2C",'Mapa final'!$U$19),"")</f>
        <v/>
      </c>
      <c r="P42" s="61" t="str">
        <f>IF(AND('Mapa final'!$AL$20="Baja",'Mapa final'!$AN$20="Leve"),CONCATENATE("R2C",'Mapa final'!$U$20),"")</f>
        <v/>
      </c>
      <c r="Q42" s="50" t="str">
        <f>IF(AND('Mapa final'!$AL$15="Baja",'Mapa final'!$AN$15="Menor"),CONCATENATE("R2C",'Mapa final'!$U$15),"")</f>
        <v/>
      </c>
      <c r="R42" s="51" t="str">
        <f>IF(AND('Mapa final'!$AL$16="Baja",'Mapa final'!$AN$16="Menore"),CONCATENATE("R2C",'Mapa final'!$U$16),"")</f>
        <v/>
      </c>
      <c r="S42" s="51" t="str">
        <f>IF(AND('Mapa final'!$AL$17="Baja",'Mapa final'!$AN$17="Menor"),CONCATENATE("R2C",'Mapa final'!$U$17),"")</f>
        <v/>
      </c>
      <c r="T42" s="51" t="str">
        <f>IF(AND('Mapa final'!$AL$18="Baja",'Mapa final'!$AN$18="Menor"),CONCATENATE("R2C",'Mapa final'!$U$18),"")</f>
        <v/>
      </c>
      <c r="U42" s="51" t="str">
        <f>IF(AND('Mapa final'!$AL$19="Baja",'Mapa final'!$AN$19="Menor"),CONCATENATE("R2C",'Mapa final'!$U$19),"")</f>
        <v/>
      </c>
      <c r="V42" s="52" t="str">
        <f>IF(AND('Mapa final'!$AL$20="Baja",'Mapa final'!$AN$20="Menor"),CONCATENATE("R2C",'Mapa final'!$U$20),"")</f>
        <v/>
      </c>
      <c r="W42" s="50" t="str">
        <f>IF(AND('Mapa final'!$AL$15="Baja",'Mapa final'!$AN$15="Moderado"),CONCATENATE("R2C",'Mapa final'!$D$15),"")</f>
        <v>R2C1</v>
      </c>
      <c r="X42" s="51" t="str">
        <f>IF(AND('Mapa final'!$AL$17="Baja",'Mapa final'!$AN$17="Moderado"),CONCATENATE("R2C",'Mapa final'!$D$17),"")</f>
        <v>R2C3</v>
      </c>
      <c r="Y42" s="51" t="str">
        <f>IF(AND('Mapa final'!$AL$16="Baja",'Mapa final'!$AN$16="Moderado"),CONCATENATE("R2C",'Mapa final'!$D$16),"")</f>
        <v>R2C2</v>
      </c>
      <c r="Z42" s="51" t="str">
        <f>IF(AND('Mapa final'!$AL$18="Baja",'Mapa final'!$AN$18="Moderado"),CONCATENATE("R2C",'Mapa final'!$D$18),"")</f>
        <v>R2C4</v>
      </c>
      <c r="AA42" s="51" t="str">
        <f>IF(AND('Mapa final'!$AL$19="Baja",'Mapa final'!$AN$19="Moderado"),CONCATENATE("R2C",'Mapa final'!$U$19),"")</f>
        <v/>
      </c>
      <c r="AB42" s="52" t="str">
        <f>IF(AND('Mapa final'!$AL$20="Baja",'Mapa final'!$AN$20="Moderado"),CONCATENATE("R2C",'Mapa final'!$U$20),"")</f>
        <v/>
      </c>
      <c r="AC42" s="32" t="str">
        <f>IF(AND('Mapa final'!$AL$15="Baja",'Mapa final'!$AN$15="Mayor"),CONCATENATE("R2C",'Mapa final'!$D$15),"")</f>
        <v/>
      </c>
      <c r="AD42" s="33" t="str">
        <f>IF(AND('Mapa final'!$AL$16="Baja",'Mapa final'!$AN$16="Mayor"),CONCATENATE("R2C",'Mapa final'!$U$16),"")</f>
        <v/>
      </c>
      <c r="AE42" s="33" t="str">
        <f>IF(AND('Mapa final'!$AL$17="Baja",'Mapa final'!$AN$17="Mayor"),CONCATENATE("R2C",'Mapa final'!$D$17),"")</f>
        <v/>
      </c>
      <c r="AF42" s="33" t="str">
        <f>IF(AND('Mapa final'!$AL$17="Baja",'Mapa final'!$AN$17="Mayor"),CONCATENATE("R2C",'Mapa final'!$D$17),"")</f>
        <v/>
      </c>
      <c r="AG42" s="33" t="str">
        <f>IF(AND('Mapa final'!$AL$19="Baja",'Mapa final'!$AN$19="Mayor"),CONCATENATE("R2C",'Mapa final'!$U$19),"")</f>
        <v/>
      </c>
      <c r="AH42" s="34" t="str">
        <f>IF(AND('Mapa final'!$AL$20="Baja",'Mapa final'!$AN$20="Mayor"),CONCATENATE("R2C",'Mapa final'!$U$20),"")</f>
        <v/>
      </c>
      <c r="AI42" s="35" t="str">
        <f>IF(AND('Mapa final'!$AL$15="Baja",'Mapa final'!$AN$15="Catastrófico"),CONCATENATE("R2C",'Mapa final'!$U$15),"")</f>
        <v/>
      </c>
      <c r="AJ42" s="36" t="str">
        <f>IF(AND('Mapa final'!$AL$16="Baja",'Mapa final'!$AN$16="Catastrófico"),CONCATENATE("R2C",'Mapa final'!$U$16),"")</f>
        <v/>
      </c>
      <c r="AK42" s="36" t="str">
        <f>IF(AND('Mapa final'!$AL$17="Baja",'Mapa final'!$AN$17="Catastrófico"),CONCATENATE("R2C",'Mapa final'!$U$17),"")</f>
        <v/>
      </c>
      <c r="AL42" s="36" t="str">
        <f>IF(AND('Mapa final'!$AL$18="Baja",'Mapa final'!$AN$18="Catastrófico"),CONCATENATE("R2C",'Mapa final'!$U$18),"")</f>
        <v/>
      </c>
      <c r="AM42" s="36" t="str">
        <f>IF(AND('Mapa final'!$AL$19="Baja",'Mapa final'!$AN$19="Catastrófico"),CONCATENATE("R2C",'Mapa final'!$U$19),"")</f>
        <v/>
      </c>
      <c r="AN42" s="37" t="str">
        <f>IF(AND('Mapa final'!$AL$20="Baja",'Mapa final'!$AN$20="Catastrófico"),CONCATENATE("R2C",'Mapa final'!$U$20),"")</f>
        <v/>
      </c>
      <c r="AO42" s="69"/>
      <c r="AP42" s="505" t="s">
        <v>81</v>
      </c>
      <c r="AQ42" s="506"/>
      <c r="AR42" s="506"/>
      <c r="AS42" s="506"/>
      <c r="AT42" s="506"/>
      <c r="AU42" s="507"/>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433"/>
      <c r="D43" s="433"/>
      <c r="E43" s="434"/>
      <c r="F43" s="492"/>
      <c r="G43" s="477"/>
      <c r="H43" s="477"/>
      <c r="I43" s="477"/>
      <c r="J43" s="477"/>
      <c r="K43" s="62" t="str">
        <f>IF(AND('Mapa final'!$AL$23="Baja",'Mapa final'!$AN$23="Leve"),CONCATENATE("R2C",'Mapa final'!$U$23),"")</f>
        <v/>
      </c>
      <c r="L43" s="63" t="str">
        <f>IF(AND('Mapa final'!$AL$24="Baja",'Mapa final'!$AN$24="Leve"),CONCATENATE("R2C",'Mapa final'!$U$24),"")</f>
        <v/>
      </c>
      <c r="M43" s="63" t="str">
        <f>IF(AND('Mapa final'!$AL$25="Baja",'Mapa final'!$AN$25="Leve"),CONCATENATE("R2C",'Mapa final'!$U$25),"")</f>
        <v/>
      </c>
      <c r="N43" s="63" t="str">
        <f>IF(AND('Mapa final'!$AL$26="Baja",'Mapa final'!$AN$26="Leve"),CONCATENATE("R2C",'Mapa final'!$U$26),"")</f>
        <v/>
      </c>
      <c r="O43" s="63" t="str">
        <f>IF(AND('Mapa final'!$AL$27="Baja",'Mapa final'!$AN$27="Leve"),CONCATENATE("R2C",'Mapa final'!$U$27),"")</f>
        <v/>
      </c>
      <c r="P43" s="64" t="str">
        <f>IF(AND('Mapa final'!$AL$28="Baja",'Mapa final'!$AN$28="Leve"),CONCATENATE("R2C",'Mapa final'!$U$28),"")</f>
        <v/>
      </c>
      <c r="Q43" s="53" t="str">
        <f>IF(AND('Mapa final'!$AL$23="Baja",'Mapa final'!$AN$23="Menor"),CONCATENATE("R2C",'Mapa final'!$U$23),"")</f>
        <v/>
      </c>
      <c r="R43" s="54" t="str">
        <f>IF(AND('Mapa final'!$AL$24="Baja",'Mapa final'!$AN$24="Menor"),CONCATENATE("R2C",'Mapa final'!$U$24),"")</f>
        <v/>
      </c>
      <c r="S43" s="54" t="str">
        <f>IF(AND('Mapa final'!$AL$25="Baja",'Mapa final'!$AN$25="Menor"),CONCATENATE("R2C",'Mapa final'!$U$25),"")</f>
        <v/>
      </c>
      <c r="T43" s="54" t="str">
        <f>IF(AND('Mapa final'!$AL$26="Baja",'Mapa final'!$AN$26="Menor"),CONCATENATE("R2C",'Mapa final'!$U$26),"")</f>
        <v/>
      </c>
      <c r="U43" s="54" t="str">
        <f>IF(AND('Mapa final'!$AL$27="Baja",'Mapa final'!$AN$27="Menor"),CONCATENATE("R2C",'Mapa final'!$U$27),"")</f>
        <v/>
      </c>
      <c r="V43" s="55" t="str">
        <f>IF(AND('Mapa final'!$AL$28="Baja",'Mapa final'!$AN$28="Menor"),CONCATENATE("R2C",'Mapa final'!$U$28),"")</f>
        <v/>
      </c>
      <c r="W43" s="53" t="str">
        <f>IF(AND('Mapa final'!$AL$23="Baja",'Mapa final'!$AN$23="Moderado"),CONCATENATE("R2C",'Mapa final'!$U$23),"")</f>
        <v/>
      </c>
      <c r="X43" s="54" t="str">
        <f>IF(AND('Mapa final'!$AL$24="Baja",'Mapa final'!$AN$24="Moderado"),CONCATENATE("R2C",'Mapa final'!$U$24),"")</f>
        <v/>
      </c>
      <c r="Y43" s="54" t="str">
        <f>IF(AND('Mapa final'!$AL$25="Baja",'Mapa final'!$AN$25="Moderado"),CONCATENATE("R2C",'Mapa final'!$U$25),"")</f>
        <v/>
      </c>
      <c r="Z43" s="54" t="str">
        <f>IF(AND('Mapa final'!$AL$26="Baja",'Mapa final'!$AN$26="Moderado"),CONCATENATE("R2C",'Mapa final'!$U$26),"")</f>
        <v/>
      </c>
      <c r="AA43" s="54" t="str">
        <f>IF(AND('Mapa final'!$AL$27="Baja",'Mapa final'!$AN$27="Moderado"),CONCATENATE("R2C",'Mapa final'!$U$27),"")</f>
        <v/>
      </c>
      <c r="AB43" s="55" t="str">
        <f>IF(AND('Mapa final'!$AL$28="Baja",'Mapa final'!$AN$28="Moderado"),CONCATENATE("R2C",'Mapa final'!$U$28),"")</f>
        <v/>
      </c>
      <c r="AC43" s="38" t="str">
        <f>IF(AND('Mapa final'!$AL$23="Baja",'Mapa final'!$AN$23="Mayor"),CONCATENATE("R2C",'Mapa final'!$U$23),"")</f>
        <v/>
      </c>
      <c r="AD43" s="39" t="str">
        <f>IF(AND('Mapa final'!$AL$24="Baja",'Mapa final'!$AN$24="Mayor"),CONCATENATE("R2C",'Mapa final'!$U$24),"")</f>
        <v/>
      </c>
      <c r="AE43" s="39" t="str">
        <f>IF(AND('Mapa final'!$AL$25="Baja",'Mapa final'!$AN$25="Mayor"),CONCATENATE("R2C",'Mapa final'!$U$25),"")</f>
        <v/>
      </c>
      <c r="AF43" s="39" t="str">
        <f>IF(AND('Mapa final'!$AL$26="Baja",'Mapa final'!$AN$26="Mayor"),CONCATENATE("R2C",'Mapa final'!$U$26),"")</f>
        <v/>
      </c>
      <c r="AG43" s="39" t="str">
        <f>IF(AND('Mapa final'!$AL$27="Baja",'Mapa final'!$AN$27="Mayor"),CONCATENATE("R2C",'Mapa final'!$U$27),"")</f>
        <v/>
      </c>
      <c r="AH43" s="40" t="str">
        <f>IF(AND('Mapa final'!$AL$28="Baja",'Mapa final'!$AN$28="Mayor"),CONCATENATE("R2C",'Mapa final'!$U$28),"")</f>
        <v/>
      </c>
      <c r="AI43" s="41" t="str">
        <f>IF(AND('Mapa final'!$AL$23="Baja",'Mapa final'!$AN$23="Catastrófico"),CONCATENATE("R2C",'Mapa final'!$U$23),"")</f>
        <v/>
      </c>
      <c r="AJ43" s="42" t="str">
        <f>IF(AND('Mapa final'!$AL$24="Baja",'Mapa final'!$AN$24="Catastrófico"),CONCATENATE("R2C",'Mapa final'!$U$24),"")</f>
        <v/>
      </c>
      <c r="AK43" s="42" t="str">
        <f>IF(AND('Mapa final'!$AL$25="Baja",'Mapa final'!$AN$25="Catastrófico"),CONCATENATE("R2C",'Mapa final'!$U$25),"")</f>
        <v/>
      </c>
      <c r="AL43" s="42" t="str">
        <f>IF(AND('Mapa final'!$AL$26="Baja",'Mapa final'!$AN$26="Catastrófico"),CONCATENATE("R2C",'Mapa final'!$U$26),"")</f>
        <v/>
      </c>
      <c r="AM43" s="42" t="str">
        <f>IF(AND('Mapa final'!$AL$27="Baja",'Mapa final'!$AN$27="Catastrófico"),CONCATENATE("R2C",'Mapa final'!$U$27),"")</f>
        <v/>
      </c>
      <c r="AN43" s="43" t="str">
        <f>IF(AND('Mapa final'!$AL$28="Baja",'Mapa final'!$AN$28="Catastrófico"),CONCATENATE("R2C",'Mapa final'!$U$28),"")</f>
        <v/>
      </c>
      <c r="AO43" s="69"/>
      <c r="AP43" s="508"/>
      <c r="AQ43" s="509"/>
      <c r="AR43" s="509"/>
      <c r="AS43" s="509"/>
      <c r="AT43" s="509"/>
      <c r="AU43" s="510"/>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433"/>
      <c r="D44" s="433"/>
      <c r="E44" s="434"/>
      <c r="F44" s="476"/>
      <c r="G44" s="477"/>
      <c r="H44" s="477"/>
      <c r="I44" s="477"/>
      <c r="J44" s="477"/>
      <c r="K44" s="62" t="str">
        <f>IF(AND('Mapa final'!$AL$29="Baja",'Mapa final'!$AN$29="Leve"),CONCATENATE("R2C",'Mapa final'!$U$29),"")</f>
        <v/>
      </c>
      <c r="L44" s="63" t="str">
        <f>IF(AND('Mapa final'!$AL$30="Baja",'Mapa final'!$AN$30="Leve"),CONCATENATE("R2C",'Mapa final'!$U$30),"")</f>
        <v/>
      </c>
      <c r="M44" s="63" t="str">
        <f>IF(AND('Mapa final'!$AL$31="Baja",'Mapa final'!$AN$31="Leve"),CONCATENATE("R2C",'Mapa final'!$U$31),"")</f>
        <v/>
      </c>
      <c r="N44" s="63" t="str">
        <f>IF(AND('Mapa final'!$AL$32="Baja",'Mapa final'!$AN$32="Leve"),CONCATENATE("R2C",'Mapa final'!$U$32),"")</f>
        <v/>
      </c>
      <c r="O44" s="63" t="str">
        <f>IF(AND('Mapa final'!$AL$33="Baja",'Mapa final'!$AN$33="Leve"),CONCATENATE("R2C",'Mapa final'!$U$33),"")</f>
        <v/>
      </c>
      <c r="P44" s="64" t="str">
        <f>IF(AND('Mapa final'!$AL$34="Baja",'Mapa final'!$AN$34="Leve"),CONCATENATE("R2C",'Mapa final'!$U$34),"")</f>
        <v/>
      </c>
      <c r="Q44" s="53" t="str">
        <f>IF(AND('Mapa final'!$AL$29="Baja",'Mapa final'!$AN$29="Menor"),CONCATENATE("R2C",'Mapa final'!$U$29),"")</f>
        <v/>
      </c>
      <c r="R44" s="54" t="str">
        <f>IF(AND('Mapa final'!$AL$30="Baja",'Mapa final'!$AN$30="Menor"),CONCATENATE("R2C",'Mapa final'!$U$30),"")</f>
        <v/>
      </c>
      <c r="S44" s="54" t="str">
        <f>IF(AND('Mapa final'!$AL$31="Baja",'Mapa final'!$AN$31="Menor"),CONCATENATE("R2C",'Mapa final'!$U$31),"")</f>
        <v/>
      </c>
      <c r="T44" s="54" t="str">
        <f>IF(AND('Mapa final'!$AL$32="Baja",'Mapa final'!$AN$32="Menor"),CONCATENATE("R2C",'Mapa final'!$U$32),"")</f>
        <v/>
      </c>
      <c r="U44" s="54" t="str">
        <f>IF(AND('Mapa final'!$AL$33="Baja",'Mapa final'!$AN$33="Menor"),CONCATENATE("R2C",'Mapa final'!$U$33),"")</f>
        <v/>
      </c>
      <c r="V44" s="55" t="str">
        <f>IF(AND('Mapa final'!$AL$34="Baja",'Mapa final'!$AN$34="Menor"),CONCATENATE("R2C",'Mapa final'!$U$34),"")</f>
        <v/>
      </c>
      <c r="W44" s="53" t="str">
        <f>IF(AND('Mapa final'!$AL$29="Baja",'Mapa final'!$AN$29="Moderado"),CONCATENATE("R2C",'Mapa final'!$U$29),"")</f>
        <v/>
      </c>
      <c r="X44" s="54" t="str">
        <f>IF(AND('Mapa final'!$AL$30="Baja",'Mapa final'!$AN$30="Moderado"),CONCATENATE("R2C",'Mapa final'!$U$30),"")</f>
        <v/>
      </c>
      <c r="Y44" s="54" t="str">
        <f>IF(AND('Mapa final'!$AL$31="Baja",'Mapa final'!$AN$31="Moderado"),CONCATENATE("R2C",'Mapa final'!$U$31),"")</f>
        <v/>
      </c>
      <c r="Z44" s="54" t="str">
        <f>IF(AND('Mapa final'!$AL$32="Baja",'Mapa final'!$AN$32="Moderado"),CONCATENATE("R2C",'Mapa final'!$U$32),"")</f>
        <v/>
      </c>
      <c r="AA44" s="54" t="str">
        <f>IF(AND('Mapa final'!$AL$33="Baja",'Mapa final'!$AN$33="Moderado"),CONCATENATE("R2C",'Mapa final'!$U$33),"")</f>
        <v/>
      </c>
      <c r="AB44" s="55" t="str">
        <f>IF(AND('Mapa final'!$AL$34="Baja",'Mapa final'!$AN$34="Moderado"),CONCATENATE("R2C",'Mapa final'!$U$34),"")</f>
        <v/>
      </c>
      <c r="AC44" s="38" t="str">
        <f>IF(AND('Mapa final'!$AL$29="Baja",'Mapa final'!$AN$29="Mayor"),CONCATENATE("R2C",'Mapa final'!$U$29),"")</f>
        <v/>
      </c>
      <c r="AD44" s="39" t="str">
        <f>IF(AND('Mapa final'!$AL$30="Baja",'Mapa final'!$AN$30="Mayor"),CONCATENATE("R2C",'Mapa final'!$U$30),"")</f>
        <v/>
      </c>
      <c r="AE44" s="39" t="str">
        <f>IF(AND('Mapa final'!$AL$31="Baja",'Mapa final'!$AN$31="Mayor"),CONCATENATE("R2C",'Mapa final'!$U$31),"")</f>
        <v/>
      </c>
      <c r="AF44" s="39" t="str">
        <f>IF(AND('Mapa final'!$AL$32="Baja",'Mapa final'!$AN$32="Mayor"),CONCATENATE("R2C",'Mapa final'!$U$32),"")</f>
        <v/>
      </c>
      <c r="AG44" s="39" t="str">
        <f>IF(AND('Mapa final'!$AL$33="Baja",'Mapa final'!$AN$33="Mayor"),CONCATENATE("R2C",'Mapa final'!$U$33),"")</f>
        <v/>
      </c>
      <c r="AH44" s="40" t="str">
        <f>IF(AND('Mapa final'!$AL$34="Baja",'Mapa final'!$AN$34="Mayor"),CONCATENATE("R2C",'Mapa final'!$U$34),"")</f>
        <v/>
      </c>
      <c r="AI44" s="41" t="str">
        <f>IF(AND('Mapa final'!$AL$29="Baja",'Mapa final'!$AN$29="Catastrófico"),CONCATENATE("R2C",'Mapa final'!$U$29),"")</f>
        <v/>
      </c>
      <c r="AJ44" s="42" t="str">
        <f>IF(AND('Mapa final'!$AL$30="Baja",'Mapa final'!$AN$30="Catastrófico"),CONCATENATE("R2C",'Mapa final'!$U$30),"")</f>
        <v/>
      </c>
      <c r="AK44" s="42" t="str">
        <f>IF(AND('Mapa final'!$AL$31="Baja",'Mapa final'!$AN$31="Catastrófico"),CONCATENATE("R2C",'Mapa final'!$U$31),"")</f>
        <v/>
      </c>
      <c r="AL44" s="42" t="str">
        <f>IF(AND('Mapa final'!$AL$32="Baja",'Mapa final'!$AN$32="Catastrófico"),CONCATENATE("R2C",'Mapa final'!$U$32),"")</f>
        <v/>
      </c>
      <c r="AM44" s="42" t="str">
        <f>IF(AND('Mapa final'!$AL$33="Baja",'Mapa final'!$AN$33="Catastrófico"),CONCATENATE("R2C",'Mapa final'!$U$33),"")</f>
        <v/>
      </c>
      <c r="AN44" s="43" t="str">
        <f>IF(AND('Mapa final'!$AL$34="Baja",'Mapa final'!$AN$34="Catastrófico"),CONCATENATE("R2C",'Mapa final'!$U$34),"")</f>
        <v/>
      </c>
      <c r="AO44" s="69"/>
      <c r="AP44" s="508"/>
      <c r="AQ44" s="509"/>
      <c r="AR44" s="509"/>
      <c r="AS44" s="509"/>
      <c r="AT44" s="509"/>
      <c r="AU44" s="510"/>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433"/>
      <c r="D45" s="433"/>
      <c r="E45" s="434"/>
      <c r="F45" s="476"/>
      <c r="G45" s="477"/>
      <c r="H45" s="477"/>
      <c r="I45" s="477"/>
      <c r="J45" s="477"/>
      <c r="K45" s="62" t="str">
        <f>IF(AND('Mapa final'!$AL$35="Baja",'Mapa final'!$AN$35="Leve"),CONCATENATE("R2C",'Mapa final'!$U$35),"")</f>
        <v/>
      </c>
      <c r="L45" s="63" t="str">
        <f>IF(AND('Mapa final'!$AL$36="Baja",'Mapa final'!$AN$36="Leve"),CONCATENATE("R2C",'Mapa final'!$U$36),"")</f>
        <v/>
      </c>
      <c r="M45" s="63" t="str">
        <f>IF(AND('Mapa final'!$AL$37="Baja",'Mapa final'!$AN$37="Leve"),CONCATENATE("R2C",'Mapa final'!$U$37),"")</f>
        <v/>
      </c>
      <c r="N45" s="63" t="str">
        <f>IF(AND('Mapa final'!$AL$38="Baja",'Mapa final'!$AN$38="Leve"),CONCATENATE("R2C",'Mapa final'!$U$38),"")</f>
        <v/>
      </c>
      <c r="O45" s="63" t="str">
        <f>IF(AND('Mapa final'!$AL$39="Baja",'Mapa final'!$AN$39="Leve"),CONCATENATE("R2C",'Mapa final'!$U$39),"")</f>
        <v/>
      </c>
      <c r="P45" s="64" t="str">
        <f>IF(AND('Mapa final'!$AL$40="Baja",'Mapa final'!$AN$40="Leve"),CONCATENATE("R2C",'Mapa final'!$U$40),"")</f>
        <v/>
      </c>
      <c r="Q45" s="53" t="str">
        <f>IF(AND('Mapa final'!$AL$35="Baja",'Mapa final'!$AN$35="Menor"),CONCATENATE("R2C",'Mapa final'!$U$35),"")</f>
        <v/>
      </c>
      <c r="R45" s="54" t="str">
        <f>IF(AND('Mapa final'!$AL$36="Baja",'Mapa final'!$AN$36="Menor"),CONCATENATE("R2C",'Mapa final'!$U$36),"")</f>
        <v/>
      </c>
      <c r="S45" s="54" t="str">
        <f>IF(AND('Mapa final'!$AL$37="Baja",'Mapa final'!$AN$37="Menor"),CONCATENATE("R2C",'Mapa final'!$U$37),"")</f>
        <v/>
      </c>
      <c r="T45" s="54" t="str">
        <f>IF(AND('Mapa final'!$AL$38="Baja",'Mapa final'!$AN$38="Menor"),CONCATENATE("R2C",'Mapa final'!$U$38),"")</f>
        <v/>
      </c>
      <c r="U45" s="54" t="str">
        <f>IF(AND('Mapa final'!$AL$39="Baja",'Mapa final'!$AN$39="LMenor"),CONCATENATE("R2C",'Mapa final'!$U$39),"")</f>
        <v/>
      </c>
      <c r="V45" s="55" t="str">
        <f>IF(AND('Mapa final'!$AL$40="Baja",'Mapa final'!$AN$40="Menor"),CONCATENATE("R2C",'Mapa final'!$U$40),"")</f>
        <v/>
      </c>
      <c r="W45" s="53" t="str">
        <f>IF(AND('Mapa final'!$AL$35="Baja",'Mapa final'!$AN$35="Moderado"),CONCATENATE("R2C",'Mapa final'!$U$35),"")</f>
        <v/>
      </c>
      <c r="X45" s="54" t="str">
        <f>IF(AND('Mapa final'!$AL$36="Baja",'Mapa final'!$AN$36="Moderado"),CONCATENATE("R2C",'Mapa final'!$U$36),"")</f>
        <v/>
      </c>
      <c r="Y45" s="54" t="str">
        <f>IF(AND('Mapa final'!$AL$37="Baja",'Mapa final'!$AN$37="Moderado"),CONCATENATE("R2C",'Mapa final'!$U$37),"")</f>
        <v/>
      </c>
      <c r="Z45" s="54" t="str">
        <f>IF(AND('Mapa final'!$AL$38="Baja",'Mapa final'!$AN$38="Moderado"),CONCATENATE("R2C",'Mapa final'!$U$38),"")</f>
        <v/>
      </c>
      <c r="AA45" s="54" t="str">
        <f>IF(AND('Mapa final'!$AL$39="Baja",'Mapa final'!$AN$39="Moderado"),CONCATENATE("R2C",'Mapa final'!$U$39),"")</f>
        <v/>
      </c>
      <c r="AB45" s="55" t="str">
        <f>IF(AND('Mapa final'!$AL$40="Baja",'Mapa final'!$AN$40="Moderado"),CONCATENATE("R2C",'Mapa final'!$U$40),"")</f>
        <v/>
      </c>
      <c r="AC45" s="38" t="str">
        <f>IF(AND('Mapa final'!$AL$35="Baja",'Mapa final'!$AN$35="Mayor"),CONCATENATE("R2C",'Mapa final'!$U$35),"")</f>
        <v/>
      </c>
      <c r="AD45" s="39" t="str">
        <f>IF(AND('Mapa final'!$AL$36="Baja",'Mapa final'!$AN$36="Mayor"),CONCATENATE("R2C",'Mapa final'!$U$36),"")</f>
        <v/>
      </c>
      <c r="AE45" s="39" t="str">
        <f>IF(AND('Mapa final'!$AL$37="Baja",'Mapa final'!$AN$37="Mayor"),CONCATENATE("R2C",'Mapa final'!$U$37),"")</f>
        <v/>
      </c>
      <c r="AF45" s="39" t="str">
        <f>IF(AND('Mapa final'!$AL$38="Baja",'Mapa final'!$AN$38="Mayor"),CONCATENATE("R2C",'Mapa final'!$U$38),"")</f>
        <v/>
      </c>
      <c r="AG45" s="39" t="str">
        <f>IF(AND('Mapa final'!$AL$39="Baja",'Mapa final'!$AN$39="Mayor"),CONCATENATE("R2C",'Mapa final'!$U$39),"")</f>
        <v/>
      </c>
      <c r="AH45" s="40" t="str">
        <f>IF(AND('Mapa final'!$AL$40="Baja",'Mapa final'!$AN$40="Mayor"),CONCATENATE("R2C",'Mapa final'!$U$40),"")</f>
        <v/>
      </c>
      <c r="AI45" s="41" t="str">
        <f>IF(AND('Mapa final'!$AL$35="Baja",'Mapa final'!$AN$35="Catastrófico"),CONCATENATE("R2C",'Mapa final'!$U$35),"")</f>
        <v/>
      </c>
      <c r="AJ45" s="42" t="str">
        <f>IF(AND('Mapa final'!$AL$36="Baja",'Mapa final'!$AN$36="Catastrófico"),CONCATENATE("R2C",'Mapa final'!$U$36),"")</f>
        <v/>
      </c>
      <c r="AK45" s="42" t="str">
        <f>IF(AND('Mapa final'!$AL$37="Baja",'Mapa final'!$AN$37="Catastrófico"),CONCATENATE("R2C",'Mapa final'!$U$37),"")</f>
        <v/>
      </c>
      <c r="AL45" s="42" t="str">
        <f>IF(AND('Mapa final'!$AL$38="Baja",'Mapa final'!$AN$38="Catastrófico"),CONCATENATE("R2C",'Mapa final'!$U$38),"")</f>
        <v/>
      </c>
      <c r="AM45" s="42" t="str">
        <f>IF(AND('Mapa final'!$AL$39="Baja",'Mapa final'!$AN$39="LCatastrófico"),CONCATENATE("R2C",'Mapa final'!$U$39),"")</f>
        <v/>
      </c>
      <c r="AN45" s="43" t="str">
        <f>IF(AND('Mapa final'!$AL$40="Baja",'Mapa final'!$AN$40="Catastrófico"),CONCATENATE("R2C",'Mapa final'!$U$40),"")</f>
        <v/>
      </c>
      <c r="AO45" s="69"/>
      <c r="AP45" s="508"/>
      <c r="AQ45" s="509"/>
      <c r="AR45" s="509"/>
      <c r="AS45" s="509"/>
      <c r="AT45" s="509"/>
      <c r="AU45" s="510"/>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433"/>
      <c r="D46" s="433"/>
      <c r="E46" s="434"/>
      <c r="F46" s="476"/>
      <c r="G46" s="477"/>
      <c r="H46" s="477"/>
      <c r="I46" s="477"/>
      <c r="J46" s="477"/>
      <c r="K46" s="62" t="str">
        <f>IF(AND('Mapa final'!$AL$41="Baja",'Mapa final'!$AN$41="Leve"),CONCATENATE("R2C",'Mapa final'!$U$41),"")</f>
        <v/>
      </c>
      <c r="L46" s="63" t="str">
        <f>IF(AND('Mapa final'!$AL$42="Baja",'Mapa final'!$AN$42="Leve"),CONCATENATE("R2C",'Mapa final'!$U$42),"")</f>
        <v/>
      </c>
      <c r="M46" s="63" t="str">
        <f>IF(AND('Mapa final'!$AL$43="Baja",'Mapa final'!$AN$43="Leve"),CONCATENATE("R2C",'Mapa final'!$U$43),"")</f>
        <v/>
      </c>
      <c r="N46" s="63" t="str">
        <f>IF(AND('Mapa final'!$AL$44="Baja",'Mapa final'!$AN$44="Leve"),CONCATENATE("R2C",'Mapa final'!$U$44),"")</f>
        <v/>
      </c>
      <c r="O46" s="63" t="str">
        <f>IF(AND('Mapa final'!$AL$45="Baja",'Mapa final'!$AN$45="Leve"),CONCATENATE("R2C",'Mapa final'!$U$45),"")</f>
        <v/>
      </c>
      <c r="P46" s="64" t="str">
        <f>IF(AND('Mapa final'!$AL$46="Baja",'Mapa final'!$AN$46="Leve"),CONCATENATE("R2C",'Mapa final'!$U$46),"")</f>
        <v/>
      </c>
      <c r="Q46" s="53" t="str">
        <f>IF(AND('Mapa final'!$AL$41="Baja",'Mapa final'!$AN$41="Menor"),CONCATENATE("R2C",'Mapa final'!$U$41),"")</f>
        <v/>
      </c>
      <c r="R46" s="54" t="str">
        <f>IF(AND('Mapa final'!$AL$42="Baja",'Mapa final'!$AN$42="Menor"),CONCATENATE("R2C",'Mapa final'!$U$42),"")</f>
        <v/>
      </c>
      <c r="S46" s="54" t="str">
        <f>IF(AND('Mapa final'!$AL$43="Baja",'Mapa final'!$AN$43="Menor"),CONCATENATE("R2C",'Mapa final'!$U$43),"")</f>
        <v/>
      </c>
      <c r="T46" s="54" t="str">
        <f>IF(AND('Mapa final'!$AL$44="Baja",'Mapa final'!$AN$44="Menor"),CONCATENATE("R2C",'Mapa final'!$U$44),"")</f>
        <v/>
      </c>
      <c r="U46" s="54" t="str">
        <f>IF(AND('Mapa final'!$AL$45="Baja",'Mapa final'!$AN$45="Menor"),CONCATENATE("R2C",'Mapa final'!$U$45),"")</f>
        <v/>
      </c>
      <c r="V46" s="55" t="str">
        <f>IF(AND('Mapa final'!$AL$46="Baja",'Mapa final'!$AN$46="Menor"),CONCATENATE("R2C",'Mapa final'!$U$46),"")</f>
        <v/>
      </c>
      <c r="W46" s="53" t="str">
        <f>IF(AND('Mapa final'!$AL$41="Baja",'Mapa final'!$AN$41="Moderado"),CONCATENATE("R2C",'Mapa final'!$U$41),"")</f>
        <v/>
      </c>
      <c r="X46" s="54" t="str">
        <f>IF(AND('Mapa final'!$AL$42="Baja",'Mapa final'!$AN$42="Moderado"),CONCATENATE("R2C",'Mapa final'!$U$42),"")</f>
        <v/>
      </c>
      <c r="Y46" s="54" t="str">
        <f>IF(AND('Mapa final'!$AL$43="Baja",'Mapa final'!$AN$43="Moderado"),CONCATENATE("R2C",'Mapa final'!$U$43),"")</f>
        <v/>
      </c>
      <c r="Z46" s="54" t="str">
        <f>IF(AND('Mapa final'!$AL$44="Baja",'Mapa final'!$AN$44="Moderado"),CONCATENATE("R2C",'Mapa final'!$U$44),"")</f>
        <v/>
      </c>
      <c r="AA46" s="54" t="str">
        <f>IF(AND('Mapa final'!$AL$45="Baja",'Mapa final'!$AN$45="Moderado"),CONCATENATE("R2C",'Mapa final'!$U$45),"")</f>
        <v/>
      </c>
      <c r="AB46" s="55" t="str">
        <f>IF(AND('Mapa final'!$AL$46="Baja",'Mapa final'!$AN$46="Moderado"),CONCATENATE("R2C",'Mapa final'!$U$46),"")</f>
        <v/>
      </c>
      <c r="AC46" s="38" t="str">
        <f>IF(AND('Mapa final'!$AL$41="Baja",'Mapa final'!$AN$41="Mayor"),CONCATENATE("R2C",'Mapa final'!$U$41),"")</f>
        <v/>
      </c>
      <c r="AD46" s="39" t="str">
        <f>IF(AND('Mapa final'!$AL$42="Baja",'Mapa final'!$AN$42="Mayor"),CONCATENATE("R2C",'Mapa final'!$U$42),"")</f>
        <v/>
      </c>
      <c r="AE46" s="39" t="str">
        <f>IF(AND('Mapa final'!$AL$43="Baja",'Mapa final'!$AN$43="Mayor"),CONCATENATE("R2C",'Mapa final'!$U$43),"")</f>
        <v/>
      </c>
      <c r="AF46" s="39" t="str">
        <f>IF(AND('Mapa final'!$AL$44="Baja",'Mapa final'!$AN$44="Mayor"),CONCATENATE("R2C",'Mapa final'!$U$44),"")</f>
        <v/>
      </c>
      <c r="AG46" s="39" t="str">
        <f>IF(AND('Mapa final'!$AL$45="Baja",'Mapa final'!$AN$45="Mayor"),CONCATENATE("R2C",'Mapa final'!$U$45),"")</f>
        <v/>
      </c>
      <c r="AH46" s="40" t="str">
        <f>IF(AND('Mapa final'!$AL$46="Baja",'Mapa final'!$AN$46="Mayor"),CONCATENATE("R2C",'Mapa final'!$U$46),"")</f>
        <v/>
      </c>
      <c r="AI46" s="41" t="str">
        <f>IF(AND('Mapa final'!$AL$41="Baja",'Mapa final'!$AN$41="Catastrófico"),CONCATENATE("R2C",'Mapa final'!$U$41),"")</f>
        <v/>
      </c>
      <c r="AJ46" s="42" t="str">
        <f>IF(AND('Mapa final'!$AL$42="Baja",'Mapa final'!$AN$42="Catastrófico"),CONCATENATE("R2C",'Mapa final'!$U$42),"")</f>
        <v/>
      </c>
      <c r="AK46" s="42" t="str">
        <f>IF(AND('Mapa final'!$AL$43="Baja",'Mapa final'!$AN$43="Catastrófico"),CONCATENATE("R2C",'Mapa final'!$U$43),"")</f>
        <v/>
      </c>
      <c r="AL46" s="42" t="str">
        <f>IF(AND('Mapa final'!$AL$44="Baja",'Mapa final'!$AN$44="Catastrófico"),CONCATENATE("R2C",'Mapa final'!$U$44),"")</f>
        <v/>
      </c>
      <c r="AM46" s="42" t="str">
        <f>IF(AND('Mapa final'!$AL$45="Baja",'Mapa final'!$AN$45="Catastrófico"),CONCATENATE("R2C",'Mapa final'!$U$45),"")</f>
        <v/>
      </c>
      <c r="AN46" s="43" t="str">
        <f>IF(AND('Mapa final'!$AL$46="Baja",'Mapa final'!$AN$46="Catastrófico"),CONCATENATE("R2C",'Mapa final'!$U$46),"")</f>
        <v/>
      </c>
      <c r="AO46" s="69"/>
      <c r="AP46" s="508"/>
      <c r="AQ46" s="509"/>
      <c r="AR46" s="509"/>
      <c r="AS46" s="509"/>
      <c r="AT46" s="509"/>
      <c r="AU46" s="510"/>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433"/>
      <c r="D47" s="433"/>
      <c r="E47" s="434"/>
      <c r="F47" s="476"/>
      <c r="G47" s="477"/>
      <c r="H47" s="477"/>
      <c r="I47" s="477"/>
      <c r="J47" s="477"/>
      <c r="K47" s="62" t="str">
        <f>IF(AND('Mapa final'!$AL$47="Baja",'Mapa final'!$AN$47="Leve"),CONCATENATE("R2C",'Mapa final'!$U$47),"")</f>
        <v/>
      </c>
      <c r="L47" s="63" t="str">
        <f>IF(AND('Mapa final'!$AL$48="Baja",'Mapa final'!$AN$48="Leve"),CONCATENATE("R2C",'Mapa final'!$U$48),"")</f>
        <v/>
      </c>
      <c r="M47" s="63" t="str">
        <f>IF(AND('Mapa final'!$AL$49="Baja",'Mapa final'!$AN$49="Leve"),CONCATENATE("R2C",'Mapa final'!$U$49),"")</f>
        <v/>
      </c>
      <c r="N47" s="63" t="str">
        <f>IF(AND('Mapa final'!$AL$50="Baja",'Mapa final'!$AN$50="Leve"),CONCATENATE("R2C",'Mapa final'!$U$50),"")</f>
        <v/>
      </c>
      <c r="O47" s="63" t="str">
        <f>IF(AND('Mapa final'!$AL$51="Baja",'Mapa final'!$AN$51="Leve"),CONCATENATE("R2C",'Mapa final'!$U$51),"")</f>
        <v/>
      </c>
      <c r="P47" s="64" t="str">
        <f>IF(AND('Mapa final'!$AL$62="Baja",'Mapa final'!$AN$52="Leve"),CONCATENATE("R2C",'Mapa final'!$U$52),"")</f>
        <v/>
      </c>
      <c r="Q47" s="53" t="str">
        <f>IF(AND('Mapa final'!$AL$47="Baja",'Mapa final'!$AN$47="Menor"),CONCATENATE("R2C",'Mapa final'!$U$47),"")</f>
        <v/>
      </c>
      <c r="R47" s="54" t="str">
        <f>IF(AND('Mapa final'!$AL$48="Baja",'Mapa final'!$AN$48="Menor"),CONCATENATE("R2C",'Mapa final'!$U$48),"")</f>
        <v/>
      </c>
      <c r="S47" s="54" t="str">
        <f>IF(AND('Mapa final'!$AL$49="Baja",'Mapa final'!$AN$49="Menor"),CONCATENATE("R2C",'Mapa final'!$U$49),"")</f>
        <v/>
      </c>
      <c r="T47" s="54" t="str">
        <f>IF(AND('Mapa final'!$AL$50="Baja",'Mapa final'!$AN$50="Menor"),CONCATENATE("R2C",'Mapa final'!$U$50),"")</f>
        <v/>
      </c>
      <c r="U47" s="54" t="str">
        <f>IF(AND('Mapa final'!$AL$51="Baja",'Mapa final'!$AN$51="Menor"),CONCATENATE("R2C",'Mapa final'!$U$51),"")</f>
        <v/>
      </c>
      <c r="V47" s="55" t="str">
        <f>IF(AND('Mapa final'!$AL$62="Baja",'Mapa final'!$AN$52="Menor"),CONCATENATE("R2C",'Mapa final'!$U$52),"")</f>
        <v/>
      </c>
      <c r="W47" s="53" t="str">
        <f>IF(AND('Mapa final'!$AL$47="Baja",'Mapa final'!$AN$47="Moderado"),CONCATENATE("R2C",'Mapa final'!$U$47),"")</f>
        <v/>
      </c>
      <c r="X47" s="54" t="str">
        <f>IF(AND('Mapa final'!$AL$48="Baja",'Mapa final'!$AN$48="Moderado"),CONCATENATE("R2C",'Mapa final'!$U$48),"")</f>
        <v/>
      </c>
      <c r="Y47" s="54" t="str">
        <f>IF(AND('Mapa final'!$AL$49="Baja",'Mapa final'!$AN$49="Moderado"),CONCATENATE("R2C",'Mapa final'!$U$49),"")</f>
        <v/>
      </c>
      <c r="Z47" s="54" t="str">
        <f>IF(AND('Mapa final'!$AL$50="Baja",'Mapa final'!$AN$50="Moderado"),CONCATENATE("R2C",'Mapa final'!$U$50),"")</f>
        <v/>
      </c>
      <c r="AA47" s="54" t="str">
        <f>IF(AND('Mapa final'!$AL$51="Baja",'Mapa final'!$AN$51="Moderado"),CONCATENATE("R2C",'Mapa final'!$U$51),"")</f>
        <v/>
      </c>
      <c r="AB47" s="55" t="str">
        <f>IF(AND('Mapa final'!$AL$62="Baja",'Mapa final'!$AN$52="Moderado"),CONCATENATE("R2C",'Mapa final'!$U$52),"")</f>
        <v/>
      </c>
      <c r="AC47" s="38" t="str">
        <f>IF(AND('Mapa final'!$AL$47="Baja",'Mapa final'!$AN$47="Mayor"),CONCATENATE("R2C",'Mapa final'!$U$47),"")</f>
        <v/>
      </c>
      <c r="AD47" s="39" t="str">
        <f>IF(AND('Mapa final'!$AL$48="Baja",'Mapa final'!$AN$48="Mayor"),CONCATENATE("R2C",'Mapa final'!$U$48),"")</f>
        <v/>
      </c>
      <c r="AE47" s="39" t="str">
        <f>IF(AND('Mapa final'!$AL$49="Baja",'Mapa final'!$AN$49="Mayor"),CONCATENATE("R2C",'Mapa final'!$U$49),"")</f>
        <v/>
      </c>
      <c r="AF47" s="39" t="str">
        <f>IF(AND('Mapa final'!$AL$50="Baja",'Mapa final'!$AN$50="Mayor"),CONCATENATE("R2C",'Mapa final'!$U$50),"")</f>
        <v/>
      </c>
      <c r="AG47" s="39" t="str">
        <f>IF(AND('Mapa final'!$AL$51="Baja",'Mapa final'!$AN$51="Mayor"),CONCATENATE("R2C",'Mapa final'!$U$51),"")</f>
        <v/>
      </c>
      <c r="AH47" s="40" t="str">
        <f>IF(AND('Mapa final'!$AL$62="Baja",'Mapa final'!$AN$52="Mayor"),CONCATENATE("R2C",'Mapa final'!$U$52),"")</f>
        <v/>
      </c>
      <c r="AI47" s="41" t="str">
        <f>IF(AND('Mapa final'!$AL$47="Baja",'Mapa final'!$AN$47="Catastrófico"),CONCATENATE("R2C",'Mapa final'!$U$47),"")</f>
        <v/>
      </c>
      <c r="AJ47" s="42" t="str">
        <f>IF(AND('Mapa final'!$AL$48="Baja",'Mapa final'!$AN$48="Catastrófico"),CONCATENATE("R2C",'Mapa final'!$U$48),"")</f>
        <v/>
      </c>
      <c r="AK47" s="42" t="str">
        <f>IF(AND('Mapa final'!$AL$49="Baja",'Mapa final'!$AN$49="Catastrófico"),CONCATENATE("R2C",'Mapa final'!$U$49),"")</f>
        <v/>
      </c>
      <c r="AL47" s="42" t="str">
        <f>IF(AND('Mapa final'!$AL$50="Baja",'Mapa final'!$AN$50="Catastrófico"),CONCATENATE("R2C",'Mapa final'!$U$50),"")</f>
        <v/>
      </c>
      <c r="AM47" s="42" t="str">
        <f>IF(AND('Mapa final'!$AL$51="Baja",'Mapa final'!$AN$51="Catastrófico"),CONCATENATE("R2C",'Mapa final'!$U$51),"")</f>
        <v/>
      </c>
      <c r="AN47" s="43" t="str">
        <f>IF(AND('Mapa final'!$AL$62="Baja",'Mapa final'!$AN$52="Catastrófico"),CONCATENATE("R2C",'Mapa final'!$U$52),"")</f>
        <v/>
      </c>
      <c r="AO47" s="69"/>
      <c r="AP47" s="508"/>
      <c r="AQ47" s="509"/>
      <c r="AR47" s="509"/>
      <c r="AS47" s="509"/>
      <c r="AT47" s="509"/>
      <c r="AU47" s="510"/>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433"/>
      <c r="D48" s="433"/>
      <c r="E48" s="434"/>
      <c r="F48" s="476"/>
      <c r="G48" s="477"/>
      <c r="H48" s="477"/>
      <c r="I48" s="477"/>
      <c r="J48" s="477"/>
      <c r="K48" s="62" t="str">
        <f>IF(AND('Mapa final'!$AL$53="Baja",'Mapa final'!$AN$53="Leve"),CONCATENATE("R2C",'Mapa final'!$U$53),"")</f>
        <v/>
      </c>
      <c r="L48" s="63" t="str">
        <f>IF(AND('Mapa final'!$AL$54="Baja",'Mapa final'!$AN$54="Leve"),CONCATENATE("R2C",'Mapa final'!$U$54),"")</f>
        <v/>
      </c>
      <c r="M48" s="63" t="str">
        <f>IF(AND('Mapa final'!$AL$55="Baja",'Mapa final'!$AN$55="Leve"),CONCATENATE("R2C",'Mapa final'!$U$55),"")</f>
        <v/>
      </c>
      <c r="N48" s="63" t="str">
        <f>IF(AND('Mapa final'!$AL$56="Baja",'Mapa final'!$AN$56="Leve"),CONCATENATE("R2C",'Mapa final'!$U$56),"")</f>
        <v/>
      </c>
      <c r="O48" s="63" t="str">
        <f>IF(AND('Mapa final'!$AL$57="Baja",'Mapa final'!$AN$57="Leve"),CONCATENATE("R2C",'Mapa final'!$U$57),"")</f>
        <v/>
      </c>
      <c r="P48" s="64" t="str">
        <f>IF(AND('Mapa final'!$AL$58="Baja",'Mapa final'!$AN$58="Leve"),CONCATENATE("R2C",'Mapa final'!$U$58),"")</f>
        <v/>
      </c>
      <c r="Q48" s="53" t="str">
        <f>IF(AND('Mapa final'!$AL$53="Baja",'Mapa final'!$AN$53="Menor"),CONCATENATE("R2C",'Mapa final'!$U$53),"")</f>
        <v/>
      </c>
      <c r="R48" s="54" t="str">
        <f>IF(AND('Mapa final'!$AL$54="Baja",'Mapa final'!$AN$54="Menor"),CONCATENATE("R2C",'Mapa final'!$U$54),"")</f>
        <v/>
      </c>
      <c r="S48" s="54" t="str">
        <f>IF(AND('Mapa final'!$AL$55="Baja",'Mapa final'!$AN$55="Menor"),CONCATENATE("R2C",'Mapa final'!$U$55),"")</f>
        <v/>
      </c>
      <c r="T48" s="54" t="str">
        <f>IF(AND('Mapa final'!$AL$56="Baja",'Mapa final'!$AN$56="Menor"),CONCATENATE("R2C",'Mapa final'!$U$56),"")</f>
        <v/>
      </c>
      <c r="U48" s="54" t="str">
        <f>IF(AND('Mapa final'!$AL$57="Baja",'Mapa final'!$AN$57="Menor"),CONCATENATE("R2C",'Mapa final'!$U$57),"")</f>
        <v/>
      </c>
      <c r="V48" s="55" t="str">
        <f>IF(AND('Mapa final'!$AL$58="Baja",'Mapa final'!$AN$58="Menor"),CONCATENATE("R2C",'Mapa final'!$U$58),"")</f>
        <v/>
      </c>
      <c r="W48" s="53" t="str">
        <f>IF(AND('Mapa final'!$AL$53="Baja",'Mapa final'!$AN$53="Moderado"),CONCATENATE("R2C",'Mapa final'!$U$53),"")</f>
        <v/>
      </c>
      <c r="X48" s="54" t="str">
        <f>IF(AND('Mapa final'!$AL$54="Baja",'Mapa final'!$AN$54="Moderado"),CONCATENATE("R2C",'Mapa final'!$U$54),"")</f>
        <v/>
      </c>
      <c r="Y48" s="54" t="str">
        <f>IF(AND('Mapa final'!$AL$55="Baja",'Mapa final'!$AN$55="Moderado"),CONCATENATE("R2C",'Mapa final'!$U$55),"")</f>
        <v/>
      </c>
      <c r="Z48" s="54" t="str">
        <f>IF(AND('Mapa final'!$AL$56="Baja",'Mapa final'!$AN$56="Moderado"),CONCATENATE("R2C",'Mapa final'!$U$56),"")</f>
        <v/>
      </c>
      <c r="AA48" s="54" t="str">
        <f>IF(AND('Mapa final'!$AL$57="Baja",'Mapa final'!$AN$57="Moderado"),CONCATENATE("R2C",'Mapa final'!$U$57),"")</f>
        <v/>
      </c>
      <c r="AB48" s="55" t="str">
        <f>IF(AND('Mapa final'!$AL$58="Baja",'Mapa final'!$AN$58="Moderado"),CONCATENATE("R2C",'Mapa final'!$U$58),"")</f>
        <v/>
      </c>
      <c r="AC48" s="38" t="str">
        <f>IF(AND('Mapa final'!$AL$53="Baja",'Mapa final'!$AN$53="Mayor"),CONCATENATE("R2C",'Mapa final'!$U$53),"")</f>
        <v/>
      </c>
      <c r="AD48" s="39" t="str">
        <f>IF(AND('Mapa final'!$AL$54="Baja",'Mapa final'!$AN$54="Mayor"),CONCATENATE("R2C",'Mapa final'!$U$54),"")</f>
        <v/>
      </c>
      <c r="AE48" s="39" t="str">
        <f>IF(AND('Mapa final'!$AL$55="Baja",'Mapa final'!$AN$55="Mayor"),CONCATENATE("R2C",'Mapa final'!$U$55),"")</f>
        <v/>
      </c>
      <c r="AF48" s="39" t="str">
        <f>IF(AND('Mapa final'!$AL$56="Baja",'Mapa final'!$AN$56="Mayor"),CONCATENATE("R2C",'Mapa final'!$U$56),"")</f>
        <v/>
      </c>
      <c r="AG48" s="39" t="str">
        <f>IF(AND('Mapa final'!$AL$57="Baja",'Mapa final'!$AN$57="Mayor"),CONCATENATE("R2C",'Mapa final'!$U$57),"")</f>
        <v/>
      </c>
      <c r="AH48" s="40" t="str">
        <f>IF(AND('Mapa final'!$AL$58="Baja",'Mapa final'!$AN$58="Mayor"),CONCATENATE("R2C",'Mapa final'!$U$58),"")</f>
        <v/>
      </c>
      <c r="AI48" s="41" t="str">
        <f>IF(AND('Mapa final'!$AL$53="Baja",'Mapa final'!$AN$53="Catastrófico"),CONCATENATE("R2C",'Mapa final'!$U$53),"")</f>
        <v/>
      </c>
      <c r="AJ48" s="42" t="str">
        <f>IF(AND('Mapa final'!$AL$54="Baja",'Mapa final'!$AN$54="Catastrófico"),CONCATENATE("R2C",'Mapa final'!$U$54),"")</f>
        <v/>
      </c>
      <c r="AK48" s="42" t="str">
        <f>IF(AND('Mapa final'!$AL$55="Baja",'Mapa final'!$AN$55="Catastrófico"),CONCATENATE("R2C",'Mapa final'!$U$55),"")</f>
        <v/>
      </c>
      <c r="AL48" s="42" t="str">
        <f>IF(AND('Mapa final'!$AL$56="Baja",'Mapa final'!$AN$56="Catastrófico"),CONCATENATE("R2C",'Mapa final'!$U$56),"")</f>
        <v/>
      </c>
      <c r="AM48" s="42" t="str">
        <f>IF(AND('Mapa final'!$AL$57="Baja",'Mapa final'!$AN$57="Catastrófico"),CONCATENATE("R2C",'Mapa final'!$U$57),"")</f>
        <v/>
      </c>
      <c r="AN48" s="43" t="str">
        <f>IF(AND('Mapa final'!$AL$58="Baja",'Mapa final'!$AN$58="Catastrófico"),CONCATENATE("R2C",'Mapa final'!$U$58),"")</f>
        <v/>
      </c>
      <c r="AO48" s="69"/>
      <c r="AP48" s="508"/>
      <c r="AQ48" s="509"/>
      <c r="AR48" s="509"/>
      <c r="AS48" s="509"/>
      <c r="AT48" s="509"/>
      <c r="AU48" s="510"/>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433"/>
      <c r="D49" s="433"/>
      <c r="E49" s="434"/>
      <c r="F49" s="476"/>
      <c r="G49" s="477"/>
      <c r="H49" s="477"/>
      <c r="I49" s="477"/>
      <c r="J49" s="477"/>
      <c r="K49" s="62" t="str">
        <f>IF(AND('Mapa final'!$AL$59="Baja",'Mapa final'!$AN$59="Leve"),CONCATENATE("R2C",'Mapa final'!$U$59),"")</f>
        <v/>
      </c>
      <c r="L49" s="63" t="str">
        <f>IF(AND('Mapa final'!$AL$60="Baja",'Mapa final'!$AN$60="Leve"),CONCATENATE("R2C",'Mapa final'!$U$60),"")</f>
        <v/>
      </c>
      <c r="M49" s="63" t="str">
        <f>IF(AND('Mapa final'!$AL$61="Baja",'Mapa final'!$AN$61="Leve"),CONCATENATE("R2C",'Mapa final'!$U$61),"")</f>
        <v/>
      </c>
      <c r="N49" s="63" t="str">
        <f>IF(AND('Mapa final'!$AL$62="Baja",'Mapa final'!$AN$62="Leve"),CONCATENATE("R2C",'Mapa final'!$U$62),"")</f>
        <v/>
      </c>
      <c r="O49" s="63" t="str">
        <f>IF(AND('Mapa final'!$AL$63="Baja",'Mapa final'!$AN$63="Leve"),CONCATENATE("R2C",'Mapa final'!$U$63),"")</f>
        <v/>
      </c>
      <c r="P49" s="64" t="str">
        <f>IF(AND('Mapa final'!$AL$64="Baja",'Mapa final'!$AN$64="Leve"),CONCATENATE("R2C",'Mapa final'!$U$64),"")</f>
        <v/>
      </c>
      <c r="Q49" s="53" t="str">
        <f>IF(AND('Mapa final'!$AL$59="Baja",'Mapa final'!$AN$59="Menor"),CONCATENATE("R2C",'Mapa final'!$U$59),"")</f>
        <v/>
      </c>
      <c r="R49" s="54" t="str">
        <f>IF(AND('Mapa final'!$AL$60="Baja",'Mapa final'!$AN$60="Menor"),CONCATENATE("R2C",'Mapa final'!$U$60),"")</f>
        <v/>
      </c>
      <c r="S49" s="54" t="str">
        <f>IF(AND('Mapa final'!$AL$61="Baja",'Mapa final'!$AN$61="Menor"),CONCATENATE("R2C",'Mapa final'!$U$61),"")</f>
        <v/>
      </c>
      <c r="T49" s="54" t="str">
        <f>IF(AND('Mapa final'!$AL$62="Baja",'Mapa final'!$AN$62="Menor"),CONCATENATE("R2C",'Mapa final'!$U$62),"")</f>
        <v/>
      </c>
      <c r="U49" s="54" t="str">
        <f>IF(AND('Mapa final'!$AL$63="Baja",'Mapa final'!$AN$63="Menor"),CONCATENATE("R2C",'Mapa final'!$U$63),"")</f>
        <v/>
      </c>
      <c r="V49" s="55" t="str">
        <f>IF(AND('Mapa final'!$AL$64="Baja",'Mapa final'!$AN$64="Menor"),CONCATENATE("R2C",'Mapa final'!$U$64),"")</f>
        <v/>
      </c>
      <c r="W49" s="53" t="str">
        <f>IF(AND('Mapa final'!$AL$59="Baja",'Mapa final'!$AN$59="Moderado"),CONCATENATE("R2C",'Mapa final'!$U$59),"")</f>
        <v/>
      </c>
      <c r="X49" s="54" t="str">
        <f>IF(AND('Mapa final'!$AL$60="Baja",'Mapa final'!$AN$60="Moderado"),CONCATENATE("R2C",'Mapa final'!$U$60),"")</f>
        <v/>
      </c>
      <c r="Y49" s="54" t="str">
        <f>IF(AND('Mapa final'!$AL$61="Baja",'Mapa final'!$AN$61="Moderado"),CONCATENATE("R2C",'Mapa final'!$U$61),"")</f>
        <v/>
      </c>
      <c r="Z49" s="54" t="str">
        <f>IF(AND('Mapa final'!$AL$62="Baja",'Mapa final'!$AN$62="Moderado"),CONCATENATE("R2C",'Mapa final'!$U$62),"")</f>
        <v/>
      </c>
      <c r="AA49" s="54" t="str">
        <f>IF(AND('Mapa final'!$AL$63="Baja",'Mapa final'!$AN$63="Moderado"),CONCATENATE("R2C",'Mapa final'!$U$63),"")</f>
        <v/>
      </c>
      <c r="AB49" s="55" t="str">
        <f>IF(AND('Mapa final'!$AL$64="Baja",'Mapa final'!$AN$64="Moderado"),CONCATENATE("R2C",'Mapa final'!$U$64),"")</f>
        <v/>
      </c>
      <c r="AC49" s="38" t="str">
        <f>IF(AND('Mapa final'!$AL$59="Baja",'Mapa final'!$AN$59="Mayor"),CONCATENATE("R2C",'Mapa final'!$U$59),"")</f>
        <v/>
      </c>
      <c r="AD49" s="39" t="str">
        <f>IF(AND('Mapa final'!$AL$60="Baja",'Mapa final'!$AN$60="Mayor"),CONCATENATE("R2C",'Mapa final'!$U$60),"")</f>
        <v/>
      </c>
      <c r="AE49" s="39" t="str">
        <f>IF(AND('Mapa final'!$AL$61="Baja",'Mapa final'!$AN$61="Mayor"),CONCATENATE("R2C",'Mapa final'!$U$61),"")</f>
        <v/>
      </c>
      <c r="AF49" s="39" t="str">
        <f>IF(AND('Mapa final'!$AL$62="Baja",'Mapa final'!$AN$62="Mayor"),CONCATENATE("R2C",'Mapa final'!$U$62),"")</f>
        <v/>
      </c>
      <c r="AG49" s="39" t="str">
        <f>IF(AND('Mapa final'!$AL$63="Baja",'Mapa final'!$AN$63="Mayor"),CONCATENATE("R2C",'Mapa final'!$U$63),"")</f>
        <v/>
      </c>
      <c r="AH49" s="40" t="str">
        <f>IF(AND('Mapa final'!$AL$64="Baja",'Mapa final'!$AN$64="Mayor"),CONCATENATE("R2C",'Mapa final'!$U$64),"")</f>
        <v/>
      </c>
      <c r="AI49" s="41" t="str">
        <f>IF(AND('Mapa final'!$AL$59="Baja",'Mapa final'!$AN$59="Catastrófico"),CONCATENATE("R2C",'Mapa final'!$U$59),"")</f>
        <v/>
      </c>
      <c r="AJ49" s="42" t="str">
        <f>IF(AND('Mapa final'!$AL$60="Baja",'Mapa final'!$AN$60="Catastrófico"),CONCATENATE("R2C",'Mapa final'!$U$60),"")</f>
        <v/>
      </c>
      <c r="AK49" s="42" t="str">
        <f>IF(AND('Mapa final'!$AL$61="Baja",'Mapa final'!$AN$61="Catastrófico"),CONCATENATE("R2C",'Mapa final'!$U$61),"")</f>
        <v/>
      </c>
      <c r="AL49" s="42" t="str">
        <f>IF(AND('Mapa final'!$AL$62="Baja",'Mapa final'!$AN$62="Catastrófico"),CONCATENATE("R2C",'Mapa final'!$U$62),"")</f>
        <v/>
      </c>
      <c r="AM49" s="42" t="str">
        <f>IF(AND('Mapa final'!$AL$63="Baja",'Mapa final'!$AN$63="Catastrófico"),CONCATENATE("R2C",'Mapa final'!$U$63),"")</f>
        <v/>
      </c>
      <c r="AN49" s="43" t="str">
        <f>IF(AND('Mapa final'!$AL$64="Baja",'Mapa final'!$AN$64="Catastrófico"),CONCATENATE("R2C",'Mapa final'!$U$64),"")</f>
        <v/>
      </c>
      <c r="AO49" s="69"/>
      <c r="AP49" s="508"/>
      <c r="AQ49" s="509"/>
      <c r="AR49" s="509"/>
      <c r="AS49" s="509"/>
      <c r="AT49" s="509"/>
      <c r="AU49" s="510"/>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433"/>
      <c r="D50" s="433"/>
      <c r="E50" s="434"/>
      <c r="F50" s="476"/>
      <c r="G50" s="477"/>
      <c r="H50" s="477"/>
      <c r="I50" s="477"/>
      <c r="J50" s="477"/>
      <c r="K50" s="62" t="str">
        <f>IF(AND('Mapa final'!$AL$65="Baja",'Mapa final'!$AN$65="Leve"),CONCATENATE("R2C",'Mapa final'!$U$65),"")</f>
        <v/>
      </c>
      <c r="L50" s="63" t="str">
        <f>IF(AND('Mapa final'!$AL$66="Baja",'Mapa final'!$AN$66="Leve"),CONCATENATE("R2C",'Mapa final'!$U$66),"")</f>
        <v/>
      </c>
      <c r="M50" s="63" t="str">
        <f>IF(AND('Mapa final'!$AL$67="Baja",'Mapa final'!$AN$67="Leve"),CONCATENATE("R2C",'Mapa final'!$U$67),"")</f>
        <v/>
      </c>
      <c r="N50" s="63" t="str">
        <f>IF(AND('Mapa final'!$AL$68="Baja",'Mapa final'!$AN$68="Leve"),CONCATENATE("R2C",'Mapa final'!$U$68),"")</f>
        <v/>
      </c>
      <c r="O50" s="63" t="str">
        <f>IF(AND('Mapa final'!$AL$69="Baja",'Mapa final'!$AN$69="Leve"),CONCATENATE("R2C",'Mapa final'!$U$69),"")</f>
        <v/>
      </c>
      <c r="P50" s="64" t="str">
        <f>IF(AND('Mapa final'!$AL$70="Baja",'Mapa final'!$AN$70="Leve"),CONCATENATE("R2C",'Mapa final'!$U$70),"")</f>
        <v/>
      </c>
      <c r="Q50" s="53" t="str">
        <f>IF(AND('Mapa final'!$AL$65="Baja",'Mapa final'!$AN$65="Menor"),CONCATENATE("R2C",'Mapa final'!$U$65),"")</f>
        <v/>
      </c>
      <c r="R50" s="54" t="str">
        <f>IF(AND('Mapa final'!$AL$66="Baja",'Mapa final'!$AN$66="Menor"),CONCATENATE("R2C",'Mapa final'!$U$66),"")</f>
        <v/>
      </c>
      <c r="S50" s="54" t="str">
        <f>IF(AND('Mapa final'!$AL$67="Baja",'Mapa final'!$AN$67="Menor"),CONCATENATE("R2C",'Mapa final'!$U$67),"")</f>
        <v/>
      </c>
      <c r="T50" s="54" t="str">
        <f>IF(AND('Mapa final'!$AL$68="Baja",'Mapa final'!$AN$68="Menor"),CONCATENATE("R2C",'Mapa final'!$U$68),"")</f>
        <v/>
      </c>
      <c r="U50" s="54" t="str">
        <f>IF(AND('Mapa final'!$AL$69="Baja",'Mapa final'!$AN$69="Menor"),CONCATENATE("R2C",'Mapa final'!$U$69),"")</f>
        <v/>
      </c>
      <c r="V50" s="55" t="str">
        <f>IF(AND('Mapa final'!$AL$70="Baja",'Mapa final'!$AN$70="Menor"),CONCATENATE("R2C",'Mapa final'!$U$70),"")</f>
        <v/>
      </c>
      <c r="W50" s="53" t="str">
        <f>IF(AND('Mapa final'!$AL$65="Baja",'Mapa final'!$AN$65="Moderado"),CONCATENATE("R2C",'Mapa final'!$U$65),"")</f>
        <v/>
      </c>
      <c r="X50" s="54" t="str">
        <f>IF(AND('Mapa final'!$AL$66="Baja",'Mapa final'!$AN$66="Moderado"),CONCATENATE("R2C",'Mapa final'!$U$66),"")</f>
        <v/>
      </c>
      <c r="Y50" s="54" t="str">
        <f>IF(AND('Mapa final'!$AL$67="Baja",'Mapa final'!$AN$67="Moderado"),CONCATENATE("R2C",'Mapa final'!$U$67),"")</f>
        <v/>
      </c>
      <c r="Z50" s="54" t="str">
        <f>IF(AND('Mapa final'!$AL$68="Baja",'Mapa final'!$AN$68="Moderado"),CONCATENATE("R2C",'Mapa final'!$U$68),"")</f>
        <v/>
      </c>
      <c r="AA50" s="54" t="str">
        <f>IF(AND('Mapa final'!$AL$69="Baja",'Mapa final'!$AN$69="Moderado"),CONCATENATE("R2C",'Mapa final'!$U$69),"")</f>
        <v/>
      </c>
      <c r="AB50" s="55" t="str">
        <f>IF(AND('Mapa final'!$AL$70="Baja",'Mapa final'!$AN$70="Moderado"),CONCATENATE("R2C",'Mapa final'!$U$70),"")</f>
        <v/>
      </c>
      <c r="AC50" s="38" t="str">
        <f>IF(AND('Mapa final'!$AL$65="Baja",'Mapa final'!$AN$65="Mayor"),CONCATENATE("R2C",'Mapa final'!$U$65),"")</f>
        <v/>
      </c>
      <c r="AD50" s="39" t="str">
        <f>IF(AND('Mapa final'!$AL$66="Baja",'Mapa final'!$AN$66="Mayor"),CONCATENATE("R2C",'Mapa final'!$U$66),"")</f>
        <v/>
      </c>
      <c r="AE50" s="39" t="str">
        <f>IF(AND('Mapa final'!$AL$67="Baja",'Mapa final'!$AN$67="Mayor"),CONCATENATE("R2C",'Mapa final'!$U$67),"")</f>
        <v/>
      </c>
      <c r="AF50" s="39" t="str">
        <f>IF(AND('Mapa final'!$AL$68="Baja",'Mapa final'!$AN$68="Mayor"),CONCATENATE("R2C",'Mapa final'!$U$68),"")</f>
        <v/>
      </c>
      <c r="AG50" s="39" t="str">
        <f>IF(AND('Mapa final'!$AL$69="Baja",'Mapa final'!$AN$69="Mayor"),CONCATENATE("R2C",'Mapa final'!$U$69),"")</f>
        <v/>
      </c>
      <c r="AH50" s="40" t="str">
        <f>IF(AND('Mapa final'!$AL$70="Baja",'Mapa final'!$AN$70="Mayor"),CONCATENATE("R2C",'Mapa final'!$U$70),"")</f>
        <v/>
      </c>
      <c r="AI50" s="41" t="str">
        <f>IF(AND('Mapa final'!$AL$65="Baja",'Mapa final'!$AN$65="Catastrófico"),CONCATENATE("R2C",'Mapa final'!$U$65),"")</f>
        <v/>
      </c>
      <c r="AJ50" s="42" t="str">
        <f>IF(AND('Mapa final'!$AL$66="Baja",'Mapa final'!$AN$66="Catastrófico"),CONCATENATE("R2C",'Mapa final'!$U$66),"")</f>
        <v/>
      </c>
      <c r="AK50" s="42" t="str">
        <f>IF(AND('Mapa final'!$AL$67="Baja",'Mapa final'!$AN$67="Catastrófico"),CONCATENATE("R2C",'Mapa final'!$U$67),"")</f>
        <v/>
      </c>
      <c r="AL50" s="42" t="str">
        <f>IF(AND('Mapa final'!$AL$68="Baja",'Mapa final'!$AN$68="Catastrófico"),CONCATENATE("R2C",'Mapa final'!$U$68),"")</f>
        <v/>
      </c>
      <c r="AM50" s="42" t="str">
        <f>IF(AND('Mapa final'!$AL$69="Baja",'Mapa final'!$AN$69="Catastrófico"),CONCATENATE("R2C",'Mapa final'!$U$69),"")</f>
        <v/>
      </c>
      <c r="AN50" s="43" t="str">
        <f>IF(AND('Mapa final'!$AL$70="Baja",'Mapa final'!$AN$70="Catastrófico"),CONCATENATE("R2C",'Mapa final'!$U$70),"")</f>
        <v/>
      </c>
      <c r="AO50" s="69"/>
      <c r="AP50" s="508"/>
      <c r="AQ50" s="509"/>
      <c r="AR50" s="509"/>
      <c r="AS50" s="509"/>
      <c r="AT50" s="509"/>
      <c r="AU50" s="510"/>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433"/>
      <c r="D51" s="433"/>
      <c r="E51" s="434"/>
      <c r="F51" s="479"/>
      <c r="G51" s="480"/>
      <c r="H51" s="480"/>
      <c r="I51" s="480"/>
      <c r="J51" s="480"/>
      <c r="K51" s="65" t="str">
        <f>IF(AND('Mapa final'!$AL$71="Baja",'Mapa final'!$AN$71="Leve"),CONCATENATE("R2C",'Mapa final'!$U$71),"")</f>
        <v/>
      </c>
      <c r="L51" s="66" t="str">
        <f>IF(AND('Mapa final'!$AL$72="Baja",'Mapa final'!$AN$72="Leve"),CONCATENATE("R2C",'Mapa final'!$U$72),"")</f>
        <v/>
      </c>
      <c r="M51" s="66" t="str">
        <f>IF(AND('Mapa final'!$AL$73="Baja",'Mapa final'!$AN$73="Leve"),CONCATENATE("R2C",'Mapa final'!$U$73),"")</f>
        <v/>
      </c>
      <c r="N51" s="66" t="str">
        <f>IF(AND('Mapa final'!$AL$74="Baja",'Mapa final'!$AN$74="Leve"),CONCATENATE("R2C",'Mapa final'!$U$74),"")</f>
        <v/>
      </c>
      <c r="O51" s="66" t="str">
        <f>IF(AND('Mapa final'!$AL$76="Baja",'Mapa final'!$AN$76="Leve"),CONCATENATE("R2C",'Mapa final'!$U$76),"")</f>
        <v/>
      </c>
      <c r="P51" s="67" t="str">
        <f>IF(AND('Mapa final'!$AL$77="Baja",'Mapa final'!$AN$77="Leve"),CONCATENATE("R2C",'Mapa final'!$U$77),"")</f>
        <v/>
      </c>
      <c r="Q51" s="53" t="str">
        <f>IF(AND('Mapa final'!$AL$71="Baja",'Mapa final'!$AN$71="Menor"),CONCATENATE("R2C",'Mapa final'!$U$71),"")</f>
        <v/>
      </c>
      <c r="R51" s="54" t="str">
        <f>IF(AND('Mapa final'!$AL$72="Baja",'Mapa final'!$AN$72="Menor"),CONCATENATE("R2C",'Mapa final'!$U$72),"")</f>
        <v/>
      </c>
      <c r="S51" s="54" t="str">
        <f>IF(AND('Mapa final'!$AL$73="Baja",'Mapa final'!$AN$73="Menor"),CONCATENATE("R2C",'Mapa final'!$U$73),"")</f>
        <v/>
      </c>
      <c r="T51" s="54" t="str">
        <f>IF(AND('Mapa final'!$AL$74="Baja",'Mapa final'!$AN$74="Menor"),CONCATENATE("R2C",'Mapa final'!$U$74),"")</f>
        <v/>
      </c>
      <c r="U51" s="54" t="str">
        <f>IF(AND('Mapa final'!$AL$76="Baja",'Mapa final'!$AN$76="Menor"),CONCATENATE("R2C",'Mapa final'!$U$76),"")</f>
        <v/>
      </c>
      <c r="V51" s="55" t="str">
        <f>IF(AND('Mapa final'!$AL$77="Baja",'Mapa final'!$AN$77="Menor"),CONCATENATE("R2C",'Mapa final'!$U$77),"")</f>
        <v/>
      </c>
      <c r="W51" s="56" t="str">
        <f>IF(AND('Mapa final'!$AL$71="Baja",'Mapa final'!$AN$71="Moderado"),CONCATENATE("R2C",'Mapa final'!$U$71),"")</f>
        <v/>
      </c>
      <c r="X51" s="57" t="str">
        <f>IF(AND('Mapa final'!$AL$72="Baja",'Mapa final'!$AN$72="Moderado"),CONCATENATE("R2C",'Mapa final'!$U$72),"")</f>
        <v/>
      </c>
      <c r="Y51" s="57" t="str">
        <f>IF(AND('Mapa final'!$AL$73="Baja",'Mapa final'!$AN$73="Moderado"),CONCATENATE("R2C",'Mapa final'!$U$73),"")</f>
        <v/>
      </c>
      <c r="Z51" s="57" t="str">
        <f>IF(AND('Mapa final'!$AL$74="Baja",'Mapa final'!$AN$74="Moderado"),CONCATENATE("R2C",'Mapa final'!$U$74),"")</f>
        <v/>
      </c>
      <c r="AA51" s="57" t="str">
        <f>IF(AND('Mapa final'!$AL$76="Baja",'Mapa final'!$AN$76="Moderado"),CONCATENATE("R2C",'Mapa final'!$U$76),"")</f>
        <v/>
      </c>
      <c r="AB51" s="58" t="str">
        <f>IF(AND('Mapa final'!$AL$77="Baja",'Mapa final'!$AN$77="Moderado"),CONCATENATE("R2C",'Mapa final'!$U$77),"")</f>
        <v/>
      </c>
      <c r="AC51" s="44" t="str">
        <f>IF(AND('Mapa final'!$AL$71="Baja",'Mapa final'!$AN$71="Mayor"),CONCATENATE("R2C",'Mapa final'!$U$71),"")</f>
        <v/>
      </c>
      <c r="AD51" s="45" t="str">
        <f>IF(AND('Mapa final'!$AL$72="Baja",'Mapa final'!$AN$72="Mayor"),CONCATENATE("R2C",'Mapa final'!$U$72),"")</f>
        <v/>
      </c>
      <c r="AE51" s="45" t="str">
        <f>IF(AND('Mapa final'!$AL$73="Baja",'Mapa final'!$AN$73="Mayor"),CONCATENATE("R2C",'Mapa final'!$U$73),"")</f>
        <v/>
      </c>
      <c r="AF51" s="45" t="str">
        <f>IF(AND('Mapa final'!$AL$74="Baja",'Mapa final'!$AN$74="Mayor"),CONCATENATE("R2C",'Mapa final'!$U$74),"")</f>
        <v/>
      </c>
      <c r="AG51" s="45" t="str">
        <f>IF(AND('Mapa final'!$AL$76="Baja",'Mapa final'!$AN$76="Mayor"),CONCATENATE("R2C",'Mapa final'!$U$76),"")</f>
        <v/>
      </c>
      <c r="AH51" s="46" t="str">
        <f>IF(AND('Mapa final'!$AL$77="Baja",'Mapa final'!$AN$77="Mayor"),CONCATENATE("R2C",'Mapa final'!$U$77),"")</f>
        <v/>
      </c>
      <c r="AI51" s="47" t="str">
        <f>IF(AND('Mapa final'!$AL$71="Baja",'Mapa final'!$AN$71="Catastrófico"),CONCATENATE("R2C",'Mapa final'!$U$71),"")</f>
        <v/>
      </c>
      <c r="AJ51" s="48" t="str">
        <f>IF(AND('Mapa final'!$AL$72="Baja",'Mapa final'!$AN$72="Catastrófico"),CONCATENATE("R2C",'Mapa final'!$U$72),"")</f>
        <v/>
      </c>
      <c r="AK51" s="48" t="str">
        <f>IF(AND('Mapa final'!$AL$73="Baja",'Mapa final'!$AN$73="Catastrófico"),CONCATENATE("R2C",'Mapa final'!$U$73),"")</f>
        <v/>
      </c>
      <c r="AL51" s="48" t="str">
        <f>IF(AND('Mapa final'!$AL$74="Baja",'Mapa final'!$AN$74="Catastrófico"),CONCATENATE("R2C",'Mapa final'!$U$74),"")</f>
        <v/>
      </c>
      <c r="AM51" s="48" t="str">
        <f>IF(AND('Mapa final'!$AL$76="Baja",'Mapa final'!$AN$76="Catastrófico"),CONCATENATE("R2C",'Mapa final'!$U$76),"")</f>
        <v/>
      </c>
      <c r="AN51" s="49" t="str">
        <f>IF(AND('Mapa final'!$AL$77="Baja",'Mapa final'!$AN$77="Catastrófico"),CONCATENATE("R2C",'Mapa final'!$U$77),"")</f>
        <v/>
      </c>
      <c r="AO51" s="69"/>
      <c r="AP51" s="511"/>
      <c r="AQ51" s="512"/>
      <c r="AR51" s="512"/>
      <c r="AS51" s="512"/>
      <c r="AT51" s="512"/>
      <c r="AU51" s="513"/>
    </row>
    <row r="52" spans="2:81" ht="41.25" customHeight="1" x14ac:dyDescent="0.35">
      <c r="B52" s="69"/>
      <c r="C52" s="433"/>
      <c r="D52" s="433"/>
      <c r="E52" s="434"/>
      <c r="F52" s="473" t="s">
        <v>112</v>
      </c>
      <c r="G52" s="474"/>
      <c r="H52" s="474"/>
      <c r="I52" s="474"/>
      <c r="J52" s="475"/>
      <c r="K52" s="59" t="str">
        <f>IF(AND('Mapa final'!$AL$15="Muy Baja",'Mapa final'!$AN$15="Leve"),CONCATENATE("R2C",'Mapa final'!$U$15),"")</f>
        <v/>
      </c>
      <c r="L52" s="60" t="str">
        <f>IF(AND('Mapa final'!$AL$16="Muy Baja",'Mapa final'!$AN$16="Leve"),CONCATENATE("R2C",'Mapa final'!$D$16),"")</f>
        <v/>
      </c>
      <c r="M52" s="60" t="str">
        <f>IF(AND('Mapa final'!$AL$17="Muy Baja",'Mapa final'!$AN$17="Leve"),CONCATENATE("R2C",'Mapa final'!$D$17),"")</f>
        <v/>
      </c>
      <c r="N52" s="60" t="str">
        <f>IF(AND('Mapa final'!$AL$18="Muy Baja",'Mapa final'!$AN$18="Leve"),CONCATENATE("R2C",'Mapa final'!$U$18),"")</f>
        <v/>
      </c>
      <c r="O52" s="60" t="str">
        <f>IF(AND('Mapa final'!$AL$19="Muy Baja",'Mapa final'!$AN$19="Leve"),CONCATENATE("R2C",'Mapa final'!$U$19),"")</f>
        <v/>
      </c>
      <c r="P52" s="61" t="str">
        <f>IF(AND('Mapa final'!$AL$20="Muy Baja",'Mapa final'!$AN$20="Leve"),CONCATENATE("R2C",'Mapa final'!$U$20),"")</f>
        <v/>
      </c>
      <c r="Q52" s="59" t="str">
        <f>IF(AND('Mapa final'!$AL$15="Muy Baja",'Mapa final'!$AN$15="Menor"),CONCATENATE("R2C",'Mapa final'!$U$15),"")</f>
        <v/>
      </c>
      <c r="R52" s="60" t="str">
        <f>IF(AND('Mapa final'!$AL$16="Muy Baja",'Mapa final'!$AN$16="Menore"),CONCATENATE("R2C",'Mapa final'!$U$16),"")</f>
        <v/>
      </c>
      <c r="S52" s="60" t="str">
        <f>IF(AND('Mapa final'!$AL$17="Muy Baja",'Mapa final'!$AN$17="Menor"),CONCATENATE("R2C",'Mapa final'!$D$17),"")</f>
        <v/>
      </c>
      <c r="T52" s="60" t="str">
        <f>IF(AND('Mapa final'!$AL$18="Muy Baja",'Mapa final'!$AN$18="Menor"),CONCATENATE("R2C",'Mapa final'!$U$18),"")</f>
        <v/>
      </c>
      <c r="U52" s="60" t="str">
        <f>IF(AND('Mapa final'!$AL$19="Muy Baja",'Mapa final'!$AN$19="Menor"),CONCATENATE("R2C",'Mapa final'!$U$19),"")</f>
        <v/>
      </c>
      <c r="V52" s="61" t="str">
        <f>IF(AND('Mapa final'!$AL$20="Muy Baja",'Mapa final'!$AN$20="Menor"),CONCATENATE("R2C",'Mapa final'!$U$20),"")</f>
        <v/>
      </c>
      <c r="W52" s="50" t="str">
        <f>IF(AND('Mapa final'!$AL$15="Muy Baja",'Mapa final'!$AN$15="Moderado"),CONCATENATE("R2C",'Mapa final'!$U$15),"")</f>
        <v/>
      </c>
      <c r="X52" s="68" t="str">
        <f>IF(AND('Mapa final'!$AL$16="Muy Baja",'Mapa final'!$AN$16="Moderado"),CONCATENATE("R2C",'Mapa final'!$U$16),"")</f>
        <v/>
      </c>
      <c r="Y52" s="51"/>
      <c r="Z52" s="51" t="str">
        <f>IF(AND('Mapa final'!$AL$18="Muy Baja",'Mapa final'!$AN$18="Moderado"),CONCATENATE("R2C",'Mapa final'!$U$18),"")</f>
        <v/>
      </c>
      <c r="AA52" s="51" t="str">
        <f>IF(AND('Mapa final'!$AL$19="Muy Baja",'Mapa final'!$AN$19="Moderado"),CONCATENATE("R2C",'Mapa final'!$U$19),"")</f>
        <v/>
      </c>
      <c r="AB52" s="52" t="str">
        <f>IF(AND('Mapa final'!$AL$20="Muy Baja",'Mapa final'!$AN$20="Moderado"),CONCATENATE("R2C",'Mapa final'!$U$20),"")</f>
        <v/>
      </c>
      <c r="AC52" s="32" t="str">
        <f>IF(AND('Mapa final'!$AL$15="Muy Baja",'Mapa final'!$AN$15="Mayor"),CONCATENATE("R2C",'Mapa final'!$U$15),"")</f>
        <v/>
      </c>
      <c r="AD52" s="33" t="str">
        <f>IF(AND('Mapa final'!$AL$16="Muy Baja",'Mapa final'!$AN$16="Mayor"),CONCATENATE("R2C",'Mapa final'!$U$16),"")</f>
        <v/>
      </c>
      <c r="AE52" s="33" t="str">
        <f>IF(AND('Mapa final'!$AL$17="Muy Baja",'Mapa final'!$AN$17="Mayor"),CONCATENATE("R2C",'Mapa final'!$U$17),"")</f>
        <v/>
      </c>
      <c r="AF52" s="33" t="str">
        <f>IF(AND('Mapa final'!$AL$18="Muy Baja",'Mapa final'!$AN$18="Mayor"),CONCATENATE("R2C",'Mapa final'!$U$18),"")</f>
        <v/>
      </c>
      <c r="AG52" s="33" t="str">
        <f>IF(AND('Mapa final'!$AL$19="Muy Baja",'Mapa final'!$AN$19="Mayor"),CONCATENATE("R2C",'Mapa final'!$U$19),"")</f>
        <v/>
      </c>
      <c r="AH52" s="34" t="str">
        <f>IF(AND('Mapa final'!$AL$20="Muy Baja",'Mapa final'!$AN$20="Mayor"),CONCATENATE("R2C",'Mapa final'!$U$20),"")</f>
        <v/>
      </c>
      <c r="AI52" s="35" t="str">
        <f>IF(AND('Mapa final'!$AL$15="Muy Baja",'Mapa final'!$AN$15="Catastrófico"),CONCATENATE("R2C",'Mapa final'!$U$15),"")</f>
        <v/>
      </c>
      <c r="AJ52" s="36" t="str">
        <f>IF(AND('Mapa final'!$AL$16="Muy Baja",'Mapa final'!$AN$16="Catastrófico"),CONCATENATE("R2C",'Mapa final'!$U$16),"")</f>
        <v/>
      </c>
      <c r="AK52" s="36" t="str">
        <f>IF(AND('Mapa final'!$AL$17="Muy Baja",'Mapa final'!$AN$17="Catastrófico"),CONCATENATE("R2C",'Mapa final'!$U$17),"")</f>
        <v/>
      </c>
      <c r="AL52" s="36" t="str">
        <f>IF(AND('Mapa final'!$AL$18="Muy Baja",'Mapa final'!$AN$18="Catastrófico"),CONCATENATE("R2C",'Mapa final'!$U$18),"")</f>
        <v/>
      </c>
      <c r="AM52" s="36" t="str">
        <f>IF(AND('Mapa final'!$AL$19="Muy Baja",'Mapa final'!$AN$19="Catastrófico"),CONCATENATE("R2C",'Mapa final'!$U$19),"")</f>
        <v/>
      </c>
      <c r="AN52" s="37" t="str">
        <f>IF(AND('Mapa final'!$AL$20="Muy Baja",'Mapa final'!$AN$20="Catastrófico"),CONCATENATE("R2C",'Mapa final'!$U$20),"")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433"/>
      <c r="D53" s="433"/>
      <c r="E53" s="434"/>
      <c r="F53" s="492"/>
      <c r="G53" s="477"/>
      <c r="H53" s="477"/>
      <c r="I53" s="477"/>
      <c r="J53" s="478"/>
      <c r="K53" s="62" t="str">
        <f>IF(AND('Mapa final'!$AL$23="Muy Baja",'Mapa final'!$AN$23="Leve"),CONCATENATE("R2C",'Mapa final'!$U$23),"")</f>
        <v/>
      </c>
      <c r="L53" s="63" t="str">
        <f>IF(AND('Mapa final'!$AL$24="Muy Baja",'Mapa final'!$AN$24="Leve"),CONCATENATE("R2C",'Mapa final'!$U$24),"")</f>
        <v/>
      </c>
      <c r="M53" s="63" t="str">
        <f>IF(AND('Mapa final'!$AL$25="Muy Baja",'Mapa final'!$AN$25="Leve"),CONCATENATE("R2C",'Mapa final'!$U$25),"")</f>
        <v/>
      </c>
      <c r="N53" s="63" t="str">
        <f>IF(AND('Mapa final'!$AL$26="Muy Baja",'Mapa final'!$AN$26="Leve"),CONCATENATE("R2C",'Mapa final'!$U$26),"")</f>
        <v/>
      </c>
      <c r="O53" s="63" t="str">
        <f>IF(AND('Mapa final'!$AL$27="Muy Baja",'Mapa final'!$AN$27="Leve"),CONCATENATE("R2C",'Mapa final'!$U$27),"")</f>
        <v/>
      </c>
      <c r="P53" s="64" t="str">
        <f>IF(AND('Mapa final'!$AL$28="Muy Baja",'Mapa final'!$AN$28="Leve"),CONCATENATE("R2C",'Mapa final'!$U$28),"")</f>
        <v/>
      </c>
      <c r="Q53" s="62" t="str">
        <f>IF(AND('Mapa final'!$AL$23="Muy Baja",'Mapa final'!$AN$23="Menor"),CONCATENATE("R2C",'Mapa final'!$U$23),"")</f>
        <v/>
      </c>
      <c r="R53" s="63" t="str">
        <f>IF(AND('Mapa final'!$AL$24="Muy Baja",'Mapa final'!$AN$24="Menor"),CONCATENATE("R2C",'Mapa final'!$U$24),"")</f>
        <v/>
      </c>
      <c r="S53" s="63" t="str">
        <f>IF(AND('Mapa final'!$AL$25="Muy Baja",'Mapa final'!$AN$25="Menor"),CONCATENATE("R2C",'Mapa final'!$U$25),"")</f>
        <v/>
      </c>
      <c r="T53" s="63" t="str">
        <f>IF(AND('Mapa final'!$AL$26="Muy Baja",'Mapa final'!$AN$26="Menor"),CONCATENATE("R2C",'Mapa final'!$U$26),"")</f>
        <v/>
      </c>
      <c r="U53" s="63" t="str">
        <f>IF(AND('Mapa final'!$AL$27="Muy Baja",'Mapa final'!$AN$27="Menor"),CONCATENATE("R2C",'Mapa final'!$U$27),"")</f>
        <v/>
      </c>
      <c r="V53" s="64" t="str">
        <f>IF(AND('Mapa final'!$AL$28="Muy Baja",'Mapa final'!$AN$28="Menor"),CONCATENATE("R2C",'Mapa final'!$U$28),"")</f>
        <v/>
      </c>
      <c r="W53" s="53" t="str">
        <f>IF(AND('Mapa final'!$AL$23="Muy Baja",'Mapa final'!$AN$23="Moderado"),CONCATENATE("R2C",'Mapa final'!$U$23),"")</f>
        <v/>
      </c>
      <c r="X53" s="54" t="str">
        <f>IF(AND('Mapa final'!$AL$24="Muy Baja",'Mapa final'!$AN$24="Moderado"),CONCATENATE("R2C",'Mapa final'!$U$24),"")</f>
        <v/>
      </c>
      <c r="Y53" s="54" t="str">
        <f>IF(AND('Mapa final'!$AL$25="Muy Baja",'Mapa final'!$AN$25="Moderado"),CONCATENATE("R2C",'Mapa final'!$U$25),"")</f>
        <v/>
      </c>
      <c r="Z53" s="54" t="str">
        <f>IF(AND('Mapa final'!$AL$26="Muy Baja",'Mapa final'!$AN$26="Moderado"),CONCATENATE("R2C",'Mapa final'!$U$26),"")</f>
        <v/>
      </c>
      <c r="AA53" s="54" t="str">
        <f>IF(AND('Mapa final'!$AL$27="Muy Baja",'Mapa final'!$AN$27="Moderado"),CONCATENATE("R2C",'Mapa final'!$U$27),"")</f>
        <v/>
      </c>
      <c r="AB53" s="55" t="str">
        <f>IF(AND('Mapa final'!$AL$28="Muy Baja",'Mapa final'!$AN$28="Moderado"),CONCATENATE("R2C",'Mapa final'!$U$28),"")</f>
        <v/>
      </c>
      <c r="AC53" s="38" t="str">
        <f>IF(AND('Mapa final'!$AL$23="Muy Baja",'Mapa final'!$AN$23="Mayor"),CONCATENATE("R2C",'Mapa final'!$U$23),"")</f>
        <v/>
      </c>
      <c r="AD53" s="39" t="str">
        <f>IF(AND('Mapa final'!$AL$24="Muy Baja",'Mapa final'!$AN$24="Mayor"),CONCATENATE("R2C",'Mapa final'!$U$24),"")</f>
        <v/>
      </c>
      <c r="AE53" s="39" t="str">
        <f>IF(AND('Mapa final'!$AL$25="Muy Baja",'Mapa final'!$AN$25="Mayor"),CONCATENATE("R2C",'Mapa final'!$U$25),"")</f>
        <v/>
      </c>
      <c r="AF53" s="39" t="str">
        <f>IF(AND('Mapa final'!$AL$26="Muy Baja",'Mapa final'!$AN$26="Mayor"),CONCATENATE("R2C",'Mapa final'!$U$26),"")</f>
        <v/>
      </c>
      <c r="AG53" s="39" t="str">
        <f>IF(AND('Mapa final'!$AL$27="Muy Baja",'Mapa final'!$AN$27="Mayor"),CONCATENATE("R2C",'Mapa final'!$U$27),"")</f>
        <v/>
      </c>
      <c r="AH53" s="40" t="str">
        <f>IF(AND('Mapa final'!$AL$28="Muy Baja",'Mapa final'!$AN$28="Mayor"),CONCATENATE("R2C",'Mapa final'!$U$28),"")</f>
        <v/>
      </c>
      <c r="AI53" s="41" t="str">
        <f>IF(AND('Mapa final'!$AL$23="Muy Baja",'Mapa final'!$AN$23="Catastrófico"),CONCATENATE("R2C",'Mapa final'!$U$23),"")</f>
        <v/>
      </c>
      <c r="AJ53" s="42" t="str">
        <f>IF(AND('Mapa final'!$AL$24="Muy Baja",'Mapa final'!$AN$24="Catastrófico"),CONCATENATE("R2C",'Mapa final'!$U$24),"")</f>
        <v/>
      </c>
      <c r="AK53" s="42" t="str">
        <f>IF(AND('Mapa final'!$AL$25="Muy Baja",'Mapa final'!$AN$25="Catastrófico"),CONCATENATE("R2C",'Mapa final'!$U$25),"")</f>
        <v/>
      </c>
      <c r="AL53" s="42" t="str">
        <f>IF(AND('Mapa final'!$AL$26="Muy Baja",'Mapa final'!$AN$26="Catastrófico"),CONCATENATE("R2C",'Mapa final'!$U$26),"")</f>
        <v/>
      </c>
      <c r="AM53" s="42" t="str">
        <f>IF(AND('Mapa final'!$AL$27="Muy Baja",'Mapa final'!$AN$27="Catastrófico"),CONCATENATE("R2C",'Mapa final'!$U$27),"")</f>
        <v/>
      </c>
      <c r="AN53" s="43" t="str">
        <f>IF(AND('Mapa final'!$AL$28="Muy Baja",'Mapa final'!$AN$28="Catastrófico"),CONCATENATE("R2C",'Mapa final'!$U$28),"")</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433"/>
      <c r="D54" s="433"/>
      <c r="E54" s="434"/>
      <c r="F54" s="492"/>
      <c r="G54" s="477"/>
      <c r="H54" s="477"/>
      <c r="I54" s="477"/>
      <c r="J54" s="478"/>
      <c r="K54" s="62" t="str">
        <f>IF(AND('Mapa final'!$AL$29="Muy Baja",'Mapa final'!$AN$29="Leve"),CONCATENATE("R2C",'Mapa final'!$U$29),"")</f>
        <v/>
      </c>
      <c r="L54" s="63" t="str">
        <f>IF(AND('Mapa final'!$AL$30="Muy Baja",'Mapa final'!$AN$30="Leve"),CONCATENATE("R2C",'Mapa final'!$U$30),"")</f>
        <v/>
      </c>
      <c r="M54" s="63" t="str">
        <f>IF(AND('Mapa final'!$AL$31="Muy Baja",'Mapa final'!$AN$31="Leve"),CONCATENATE("R2C",'Mapa final'!$U$31),"")</f>
        <v/>
      </c>
      <c r="N54" s="63" t="str">
        <f>IF(AND('Mapa final'!$AL$32="Muy Baja",'Mapa final'!$AN$32="Leve"),CONCATENATE("R2C",'Mapa final'!$U$32),"")</f>
        <v/>
      </c>
      <c r="O54" s="63" t="str">
        <f>IF(AND('Mapa final'!$AL$33="Muy Baja",'Mapa final'!$AN$33="Leve"),CONCATENATE("R2C",'Mapa final'!$U$33),"")</f>
        <v/>
      </c>
      <c r="P54" s="64" t="str">
        <f>IF(AND('Mapa final'!$AL$34="Muy Baja",'Mapa final'!$AN$34="Leve"),CONCATENATE("R2C",'Mapa final'!$U$34),"")</f>
        <v/>
      </c>
      <c r="Q54" s="62" t="str">
        <f>IF(AND('Mapa final'!$AL$29="Muy Baja",'Mapa final'!$AN$29="Menor"),CONCATENATE("R2C",'Mapa final'!$U$29),"")</f>
        <v/>
      </c>
      <c r="R54" s="63" t="str">
        <f>IF(AND('Mapa final'!$AL$30="Muy Baja",'Mapa final'!$AN$30="Menor"),CONCATENATE("R2C",'Mapa final'!$U$30),"")</f>
        <v/>
      </c>
      <c r="S54" s="63" t="str">
        <f>IF(AND('Mapa final'!$AL$31="Muy Baja",'Mapa final'!$AN$31="Menor"),CONCATENATE("R2C",'Mapa final'!$U$31),"")</f>
        <v/>
      </c>
      <c r="T54" s="63" t="str">
        <f>IF(AND('Mapa final'!$AL$32="Muy Baja",'Mapa final'!$AN$32="Menor"),CONCATENATE("R2C",'Mapa final'!$U$32),"")</f>
        <v/>
      </c>
      <c r="U54" s="63" t="str">
        <f>IF(AND('Mapa final'!$AL$33="Muy Baja",'Mapa final'!$AN$33="Menor"),CONCATENATE("R2C",'Mapa final'!$U$33),"")</f>
        <v/>
      </c>
      <c r="V54" s="64" t="str">
        <f>IF(AND('Mapa final'!$AL$34="Muy Baja",'Mapa final'!$AN$34="Menor"),CONCATENATE("R2C",'Mapa final'!$U$34),"")</f>
        <v/>
      </c>
      <c r="W54" s="53" t="str">
        <f>IF(AND('Mapa final'!$AL$29="Muy Baja",'Mapa final'!$AN$29="Moderado"),CONCATENATE("R2C",'Mapa final'!$U$29),"")</f>
        <v/>
      </c>
      <c r="X54" s="54" t="str">
        <f>IF(AND('Mapa final'!$AL$30="Muy Baja",'Mapa final'!$AN$30="Moderado"),CONCATENATE("R2C",'Mapa final'!$U$30),"")</f>
        <v/>
      </c>
      <c r="Y54" s="54" t="str">
        <f>IF(AND('Mapa final'!$AL$31="Muy Baja",'Mapa final'!$AN$31="Moderado"),CONCATENATE("R2C",'Mapa final'!$U$31),"")</f>
        <v/>
      </c>
      <c r="Z54" s="54" t="str">
        <f>IF(AND('Mapa final'!$AL$32="Muy Baja",'Mapa final'!$AN$32="Moderado"),CONCATENATE("R2C",'Mapa final'!$U$32),"")</f>
        <v/>
      </c>
      <c r="AA54" s="54" t="str">
        <f>IF(AND('Mapa final'!$AL$33="Muy Baja",'Mapa final'!$AN$33="Moderado"),CONCATENATE("R2C",'Mapa final'!$U$33),"")</f>
        <v/>
      </c>
      <c r="AB54" s="55" t="str">
        <f>IF(AND('Mapa final'!$AL$34="Muy Baja",'Mapa final'!$AN$34="Moderado"),CONCATENATE("R2C",'Mapa final'!$U$34),"")</f>
        <v/>
      </c>
      <c r="AC54" s="38" t="str">
        <f>IF(AND('Mapa final'!$AL$29="Muy Baja",'Mapa final'!$AN$29="Mayor"),CONCATENATE("R2C",'Mapa final'!$U$29),"")</f>
        <v/>
      </c>
      <c r="AD54" s="39" t="str">
        <f>IF(AND('Mapa final'!$AL$30="Muy Baja",'Mapa final'!$AN$30="Mayor"),CONCATENATE("R2C",'Mapa final'!$U$30),"")</f>
        <v/>
      </c>
      <c r="AE54" s="39" t="str">
        <f>IF(AND('Mapa final'!$AL$31="Muy Baja",'Mapa final'!$AN$31="Mayor"),CONCATENATE("R2C",'Mapa final'!$U$31),"")</f>
        <v/>
      </c>
      <c r="AF54" s="39" t="str">
        <f>IF(AND('Mapa final'!$AL$32="Muy Baja",'Mapa final'!$AN$32="Mayor"),CONCATENATE("R2C",'Mapa final'!$U$32),"")</f>
        <v/>
      </c>
      <c r="AG54" s="39" t="str">
        <f>IF(AND('Mapa final'!$AL$33="Muy Baja",'Mapa final'!$AN$33="Mayor"),CONCATENATE("R2C",'Mapa final'!$U$33),"")</f>
        <v/>
      </c>
      <c r="AH54" s="40" t="str">
        <f>IF(AND('Mapa final'!$AL$34="Muy Baja",'Mapa final'!$AN$34="Mayor"),CONCATENATE("R2C",'Mapa final'!$U$34),"")</f>
        <v/>
      </c>
      <c r="AI54" s="41" t="str">
        <f>IF(AND('Mapa final'!$AL$29="Muy Baja",'Mapa final'!$AN$29="Catastrófico"),CONCATENATE("R2C",'Mapa final'!$U$29),"")</f>
        <v/>
      </c>
      <c r="AJ54" s="42" t="str">
        <f>IF(AND('Mapa final'!$AL$30="Muy Baja",'Mapa final'!$AN$30="Catastrófico"),CONCATENATE("R2C",'Mapa final'!$U$30),"")</f>
        <v/>
      </c>
      <c r="AK54" s="42" t="str">
        <f>IF(AND('Mapa final'!$AL$31="Muy Baja",'Mapa final'!$AN$31="Catastrófico"),CONCATENATE("R2C",'Mapa final'!$U$31),"")</f>
        <v/>
      </c>
      <c r="AL54" s="42" t="str">
        <f>IF(AND('Mapa final'!$AL$32="Muy Baja",'Mapa final'!$AN$32="Catastrófico"),CONCATENATE("R2C",'Mapa final'!$U$32),"")</f>
        <v/>
      </c>
      <c r="AM54" s="42" t="str">
        <f>IF(AND('Mapa final'!$AL$33="Muy Baja",'Mapa final'!$AN$33="Catastrófico"),CONCATENATE("R2C",'Mapa final'!$U$33),"")</f>
        <v/>
      </c>
      <c r="AN54" s="43" t="str">
        <f>IF(AND('Mapa final'!$AL$34="Muy Baja",'Mapa final'!$AN$34="Catastrófico"),CONCATENATE("R2C",'Mapa final'!$U$34),"")</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433"/>
      <c r="D55" s="433"/>
      <c r="E55" s="434"/>
      <c r="F55" s="476"/>
      <c r="G55" s="477"/>
      <c r="H55" s="477"/>
      <c r="I55" s="477"/>
      <c r="J55" s="478"/>
      <c r="K55" s="62" t="str">
        <f>IF(AND('Mapa final'!$AL$35="Muy Baja",'Mapa final'!$AN$35="Leve"),CONCATENATE("R2C",'Mapa final'!$U$35),"")</f>
        <v/>
      </c>
      <c r="L55" s="63" t="str">
        <f>IF(AND('Mapa final'!$AL$36="Muy Baja",'Mapa final'!$AN$36="Leve"),CONCATENATE("R2C",'Mapa final'!$U$36),"")</f>
        <v/>
      </c>
      <c r="M55" s="63" t="str">
        <f>IF(AND('Mapa final'!$AL$37="Muy Baja",'Mapa final'!$AN$37="Leve"),CONCATENATE("R2C",'Mapa final'!$U$37),"")</f>
        <v/>
      </c>
      <c r="N55" s="63" t="str">
        <f>IF(AND('Mapa final'!$AL$38="Muy Baja",'Mapa final'!$AN$38="Leve"),CONCATENATE("R2C",'Mapa final'!$U$38),"")</f>
        <v/>
      </c>
      <c r="O55" s="63" t="str">
        <f>IF(AND('Mapa final'!$AL$39="Muy Baja",'Mapa final'!$AN$39="Leve"),CONCATENATE("R2C",'Mapa final'!$U$39),"")</f>
        <v/>
      </c>
      <c r="P55" s="64" t="str">
        <f>IF(AND('Mapa final'!$AL$40="Muy Baja",'Mapa final'!$AN$40="Leve"),CONCATENATE("R2C",'Mapa final'!$U$40),"")</f>
        <v/>
      </c>
      <c r="Q55" s="62" t="str">
        <f>IF(AND('Mapa final'!$AL$35="Muy Baja",'Mapa final'!$AN$35="Menor"),CONCATENATE("R2C",'Mapa final'!$U$35),"")</f>
        <v/>
      </c>
      <c r="R55" s="63" t="str">
        <f>IF(AND('Mapa final'!$AL$36="Muy Baja",'Mapa final'!$AN$36="Menor"),CONCATENATE("R2C",'Mapa final'!$U$36),"")</f>
        <v/>
      </c>
      <c r="S55" s="63" t="str">
        <f>IF(AND('Mapa final'!$AL$37="Muy Baja",'Mapa final'!$AN$37="Menor"),CONCATENATE("R2C",'Mapa final'!$U$37),"")</f>
        <v/>
      </c>
      <c r="T55" s="63" t="str">
        <f>IF(AND('Mapa final'!$AL$38="Muy Baja",'Mapa final'!$AN$38="Menor"),CONCATENATE("R2C",'Mapa final'!$U$38),"")</f>
        <v/>
      </c>
      <c r="U55" s="63" t="str">
        <f>IF(AND('Mapa final'!$AL$39="Muy Baja",'Mapa final'!$AN$39="LMenor"),CONCATENATE("R2C",'Mapa final'!$U$39),"")</f>
        <v/>
      </c>
      <c r="V55" s="64" t="str">
        <f>IF(AND('Mapa final'!$AL$40="Muy Baja",'Mapa final'!$AN$40="Menor"),CONCATENATE("R2C",'Mapa final'!$U$40),"")</f>
        <v/>
      </c>
      <c r="W55" s="53" t="str">
        <f>IF(AND('Mapa final'!$AL$35="Muy Baja",'Mapa final'!$AN$35="Moderado"),CONCATENATE("R2C",'Mapa final'!$U$35),"")</f>
        <v/>
      </c>
      <c r="X55" s="54" t="str">
        <f>IF(AND('Mapa final'!$AL$36="Muy Baja",'Mapa final'!$AN$36="Moderado"),CONCATENATE("R2C",'Mapa final'!$U$36),"")</f>
        <v/>
      </c>
      <c r="Y55" s="54" t="str">
        <f>IF(AND('Mapa final'!$AL$37="Muy Baja",'Mapa final'!$AN$37="Moderado"),CONCATENATE("R2C",'Mapa final'!$U$37),"")</f>
        <v/>
      </c>
      <c r="Z55" s="54" t="str">
        <f>IF(AND('Mapa final'!$AL$38="Muy Baja",'Mapa final'!$AN$38="Moderado"),CONCATENATE("R2C",'Mapa final'!$U$38),"")</f>
        <v/>
      </c>
      <c r="AA55" s="54" t="str">
        <f>IF(AND('Mapa final'!$AL$39="Muy Baja",'Mapa final'!$AN$39="Moderado"),CONCATENATE("R2C",'Mapa final'!$U$39),"")</f>
        <v/>
      </c>
      <c r="AB55" s="55" t="str">
        <f>IF(AND('Mapa final'!$AL$40="Muy Baja",'Mapa final'!$AN$40="Moderado"),CONCATENATE("R2C",'Mapa final'!$U$40),"")</f>
        <v/>
      </c>
      <c r="AC55" s="38" t="str">
        <f>IF(AND('Mapa final'!$AL$35="Muy Baja",'Mapa final'!$AN$35="Mayor"),CONCATENATE("R2C",'Mapa final'!$U$35),"")</f>
        <v/>
      </c>
      <c r="AD55" s="39" t="str">
        <f>IF(AND('Mapa final'!$AL$36="Muy Baja",'Mapa final'!$AN$36="Mayor"),CONCATENATE("R2C",'Mapa final'!$U$36),"")</f>
        <v/>
      </c>
      <c r="AE55" s="39" t="str">
        <f>IF(AND('Mapa final'!$AL$37="Muy Baja",'Mapa final'!$AN$37="Mayor"),CONCATENATE("R2C",'Mapa final'!$U$37),"")</f>
        <v/>
      </c>
      <c r="AF55" s="39" t="str">
        <f>IF(AND('Mapa final'!$AL$38="Muy Baja",'Mapa final'!$AN$38="Mayor"),CONCATENATE("R2C",'Mapa final'!$U$38),"")</f>
        <v/>
      </c>
      <c r="AG55" s="39" t="str">
        <f>IF(AND('Mapa final'!$AL$39="Muy Baja",'Mapa final'!$AN$39="Mayor"),CONCATENATE("R2C",'Mapa final'!$U$39),"")</f>
        <v/>
      </c>
      <c r="AH55" s="40" t="str">
        <f>IF(AND('Mapa final'!$AL$40="Muy Baja",'Mapa final'!$AN$40="Mayor"),CONCATENATE("R2C",'Mapa final'!$U$40),"")</f>
        <v/>
      </c>
      <c r="AI55" s="41" t="str">
        <f>IF(AND('Mapa final'!$AL$35="Muy Baja",'Mapa final'!$AN$35="Catastrófico"),CONCATENATE("R2C",'Mapa final'!$U$35),"")</f>
        <v/>
      </c>
      <c r="AJ55" s="42" t="str">
        <f>IF(AND('Mapa final'!$AL$36="Muy Baja",'Mapa final'!$AN$36="Catastrófico"),CONCATENATE("R2C",'Mapa final'!$U$36),"")</f>
        <v/>
      </c>
      <c r="AK55" s="42" t="str">
        <f>IF(AND('Mapa final'!$AL$37="Muy Baja",'Mapa final'!$AN$37="Catastrófico"),CONCATENATE("R2C",'Mapa final'!$U$37),"")</f>
        <v/>
      </c>
      <c r="AL55" s="42" t="str">
        <f>IF(AND('Mapa final'!$AL$38="Muy Baja",'Mapa final'!$AN$38="Catastrófico"),CONCATENATE("R2C",'Mapa final'!$U$38),"")</f>
        <v/>
      </c>
      <c r="AM55" s="42" t="str">
        <f>IF(AND('Mapa final'!$AL$39="Muy Baja",'Mapa final'!$AN$39="LCatastrófico"),CONCATENATE("R2C",'Mapa final'!$U$39),"")</f>
        <v/>
      </c>
      <c r="AN55" s="43" t="str">
        <f>IF(AND('Mapa final'!$AL$40="Muy Baja",'Mapa final'!$AN$40="Catastrófico"),CONCATENATE("R2C",'Mapa final'!$U$40),"")</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433"/>
      <c r="D56" s="433"/>
      <c r="E56" s="434"/>
      <c r="F56" s="476"/>
      <c r="G56" s="477"/>
      <c r="H56" s="477"/>
      <c r="I56" s="477"/>
      <c r="J56" s="478"/>
      <c r="K56" s="62" t="str">
        <f>IF(AND('Mapa final'!$AL$41="Muy Baja",'Mapa final'!$AN$41="Leve"),CONCATENATE("R2C",'Mapa final'!$U$41),"")</f>
        <v/>
      </c>
      <c r="L56" s="63" t="str">
        <f>IF(AND('Mapa final'!$AL$42="Muy Baja",'Mapa final'!$AN$42="Leve"),CONCATENATE("R2C",'Mapa final'!$U$42),"")</f>
        <v/>
      </c>
      <c r="M56" s="63" t="str">
        <f>IF(AND('Mapa final'!$AL$43="Muy Baja",'Mapa final'!$AN$43="Leve"),CONCATENATE("R2C",'Mapa final'!$U$43),"")</f>
        <v/>
      </c>
      <c r="N56" s="63" t="str">
        <f>IF(AND('Mapa final'!$AL$44="Muy Baja",'Mapa final'!$AN$44="Leve"),CONCATENATE("R2C",'Mapa final'!$U$44),"")</f>
        <v/>
      </c>
      <c r="O56" s="63" t="str">
        <f>IF(AND('Mapa final'!$AL$45="Muy Baja",'Mapa final'!$AN$45="Leve"),CONCATENATE("R2C",'Mapa final'!$U$45),"")</f>
        <v/>
      </c>
      <c r="P56" s="64" t="str">
        <f>IF(AND('Mapa final'!$AL$46="Muy Baja",'Mapa final'!$AN$46="Leve"),CONCATENATE("R2C",'Mapa final'!$U$46),"")</f>
        <v/>
      </c>
      <c r="Q56" s="62" t="str">
        <f>IF(AND('Mapa final'!$AL$41="Muy Baja",'Mapa final'!$AN$41="Menor"),CONCATENATE("R2C",'Mapa final'!$U$41),"")</f>
        <v/>
      </c>
      <c r="R56" s="63" t="str">
        <f>IF(AND('Mapa final'!$AL$42="Muy Baja",'Mapa final'!$AN$42="Menor"),CONCATENATE("R2C",'Mapa final'!$U$42),"")</f>
        <v/>
      </c>
      <c r="S56" s="63" t="str">
        <f>IF(AND('Mapa final'!$AL$43="Muy Baja",'Mapa final'!$AN$43="Menor"),CONCATENATE("R2C",'Mapa final'!$U$43),"")</f>
        <v/>
      </c>
      <c r="T56" s="63" t="str">
        <f>IF(AND('Mapa final'!$AL$44="Muy Baja",'Mapa final'!$AN$44="Menor"),CONCATENATE("R2C",'Mapa final'!$U$44),"")</f>
        <v/>
      </c>
      <c r="U56" s="63" t="str">
        <f>IF(AND('Mapa final'!$AL$45="Muy Baja",'Mapa final'!$AN$45="Menor"),CONCATENATE("R2C",'Mapa final'!$U$45),"")</f>
        <v/>
      </c>
      <c r="V56" s="64" t="str">
        <f>IF(AND('Mapa final'!$AL$46="Muy Baja",'Mapa final'!$AN$46="Menor"),CONCATENATE("R2C",'Mapa final'!$U$46),"")</f>
        <v/>
      </c>
      <c r="W56" s="53" t="str">
        <f>IF(AND('Mapa final'!$AL$41="Muy Baja",'Mapa final'!$AN$41="Moderado"),CONCATENATE("R2C",'Mapa final'!$U$41),"")</f>
        <v/>
      </c>
      <c r="X56" s="54" t="str">
        <f>IF(AND('Mapa final'!$AL$42="Muy Baja",'Mapa final'!$AN$42="Moderado"),CONCATENATE("R2C",'Mapa final'!$U$42),"")</f>
        <v/>
      </c>
      <c r="Y56" s="54" t="str">
        <f>IF(AND('Mapa final'!$AL$43="Muy Baja",'Mapa final'!$AN$43="Moderado"),CONCATENATE("R2C",'Mapa final'!$U$43),"")</f>
        <v/>
      </c>
      <c r="Z56" s="54" t="str">
        <f>IF(AND('Mapa final'!$AL$44="Muy Baja",'Mapa final'!$AN$44="Moderado"),CONCATENATE("R2C",'Mapa final'!$U$44),"")</f>
        <v/>
      </c>
      <c r="AA56" s="54" t="str">
        <f>IF(AND('Mapa final'!$AL$45="Muy Baja",'Mapa final'!$AN$45="Moderado"),CONCATENATE("R2C",'Mapa final'!$U$45),"")</f>
        <v/>
      </c>
      <c r="AB56" s="55" t="str">
        <f>IF(AND('Mapa final'!$AL$46="Muy Baja",'Mapa final'!$AN$46="Moderado"),CONCATENATE("R2C",'Mapa final'!$U$46),"")</f>
        <v/>
      </c>
      <c r="AC56" s="38" t="str">
        <f>IF(AND('Mapa final'!$AL$41="Muy Baja",'Mapa final'!$AN$41="Mayor"),CONCATENATE("R2C",'Mapa final'!$U$41),"")</f>
        <v/>
      </c>
      <c r="AD56" s="39" t="str">
        <f>IF(AND('Mapa final'!$AL$42="Muy Baja",'Mapa final'!$AN$42="Mayor"),CONCATENATE("R2C",'Mapa final'!$U$42),"")</f>
        <v/>
      </c>
      <c r="AE56" s="39" t="str">
        <f>IF(AND('Mapa final'!$AL$43="Muy Baja",'Mapa final'!$AN$43="Mayor"),CONCATENATE("R2C",'Mapa final'!$U$43),"")</f>
        <v/>
      </c>
      <c r="AF56" s="39" t="str">
        <f>IF(AND('Mapa final'!$AL$44="Muy Baja",'Mapa final'!$AN$44="Mayor"),CONCATENATE("R2C",'Mapa final'!$U$44),"")</f>
        <v/>
      </c>
      <c r="AG56" s="39" t="str">
        <f>IF(AND('Mapa final'!$AL$45="Muy Baja",'Mapa final'!$AN$45="Mayor"),CONCATENATE("R2C",'Mapa final'!$U$45),"")</f>
        <v/>
      </c>
      <c r="AH56" s="40" t="str">
        <f>IF(AND('Mapa final'!$AL$46="Muy Baja",'Mapa final'!$AN$46="Mayor"),CONCATENATE("R2C",'Mapa final'!$U$46),"")</f>
        <v/>
      </c>
      <c r="AI56" s="41" t="str">
        <f>IF(AND('Mapa final'!$AL$41="Muy Baja",'Mapa final'!$AN$41="Catastrófico"),CONCATENATE("R2C",'Mapa final'!$U$41),"")</f>
        <v/>
      </c>
      <c r="AJ56" s="42" t="str">
        <f>IF(AND('Mapa final'!$AL$42="Muy Baja",'Mapa final'!$AN$42="Catastrófico"),CONCATENATE("R2C",'Mapa final'!$U$42),"")</f>
        <v/>
      </c>
      <c r="AK56" s="42" t="str">
        <f>IF(AND('Mapa final'!$AL$43="Muy Baja",'Mapa final'!$AN$43="Catastrófico"),CONCATENATE("R2C",'Mapa final'!$U$43),"")</f>
        <v/>
      </c>
      <c r="AL56" s="42" t="str">
        <f>IF(AND('Mapa final'!$AL$44="Muy Baja",'Mapa final'!$AN$44="Catastrófico"),CONCATENATE("R2C",'Mapa final'!$U$44),"")</f>
        <v/>
      </c>
      <c r="AM56" s="42" t="str">
        <f>IF(AND('Mapa final'!$AL$45="Muy Baja",'Mapa final'!$AN$45="Catastrófico"),CONCATENATE("R2C",'Mapa final'!$U$45),"")</f>
        <v/>
      </c>
      <c r="AN56" s="43" t="str">
        <f>IF(AND('Mapa final'!$AL$46="Muy Baja",'Mapa final'!$AN$46="Catastrófico"),CONCATENATE("R2C",'Mapa final'!$U$46),"")</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433"/>
      <c r="D57" s="433"/>
      <c r="E57" s="434"/>
      <c r="F57" s="476"/>
      <c r="G57" s="477"/>
      <c r="H57" s="477"/>
      <c r="I57" s="477"/>
      <c r="J57" s="478"/>
      <c r="K57" s="62" t="str">
        <f>IF(AND('Mapa final'!$AL$47="Muy Baja",'Mapa final'!$AN$47="Leve"),CONCATENATE("R2C",'Mapa final'!$U$47),"")</f>
        <v/>
      </c>
      <c r="L57" s="63" t="str">
        <f>IF(AND('Mapa final'!$AL$48="Muy Baja",'Mapa final'!$AN$48="Leve"),CONCATENATE("R2C",'Mapa final'!$U$48),"")</f>
        <v/>
      </c>
      <c r="M57" s="63" t="str">
        <f>IF(AND('Mapa final'!$AL$49="Muy Baja",'Mapa final'!$AN$49="Leve"),CONCATENATE("R2C",'Mapa final'!$U$49),"")</f>
        <v/>
      </c>
      <c r="N57" s="63" t="str">
        <f>IF(AND('Mapa final'!$AL$50="Muy Baja",'Mapa final'!$AN$50="Leve"),CONCATENATE("R2C",'Mapa final'!$U$50),"")</f>
        <v/>
      </c>
      <c r="O57" s="63" t="str">
        <f>IF(AND('Mapa final'!$AL$51="Muy Baja",'Mapa final'!$AN$51="Leve"),CONCATENATE("R2C",'Mapa final'!$U$51),"")</f>
        <v/>
      </c>
      <c r="P57" s="64" t="str">
        <f>IF(AND('Mapa final'!$AL$62="Muy Baja",'Mapa final'!$AN$52="Leve"),CONCATENATE("R2C",'Mapa final'!$U$52),"")</f>
        <v/>
      </c>
      <c r="Q57" s="62" t="str">
        <f>IF(AND('Mapa final'!$AL$47="Muy Baja",'Mapa final'!$AN$47="Menor"),CONCATENATE("R2C",'Mapa final'!$U$47),"")</f>
        <v/>
      </c>
      <c r="R57" s="63" t="str">
        <f>IF(AND('Mapa final'!$AL$48="Muy Baja",'Mapa final'!$AN$48="Menor"),CONCATENATE("R2C",'Mapa final'!$U$48),"")</f>
        <v/>
      </c>
      <c r="S57" s="63" t="str">
        <f>IF(AND('Mapa final'!$AL$49="Muy Baja",'Mapa final'!$AN$49="Menor"),CONCATENATE("R2C",'Mapa final'!$U$49),"")</f>
        <v/>
      </c>
      <c r="T57" s="63" t="str">
        <f>IF(AND('Mapa final'!$AL$50="Muy Baja",'Mapa final'!$AN$50="Menor"),CONCATENATE("R2C",'Mapa final'!$U$50),"")</f>
        <v/>
      </c>
      <c r="U57" s="63" t="str">
        <f>IF(AND('Mapa final'!$AL$51="Muy Baja",'Mapa final'!$AN$51="Menor"),CONCATENATE("R2C",'Mapa final'!$U$51),"")</f>
        <v/>
      </c>
      <c r="V57" s="64" t="str">
        <f>IF(AND('Mapa final'!$AL$62="Muy Baja",'Mapa final'!$AN$52="Menor"),CONCATENATE("R2C",'Mapa final'!$U$52),"")</f>
        <v/>
      </c>
      <c r="W57" s="53" t="str">
        <f>IF(AND('Mapa final'!$AL$47="Muy Baja",'Mapa final'!$AN$47="Moderado"),CONCATENATE("R2C",'Mapa final'!$U$47),"")</f>
        <v/>
      </c>
      <c r="X57" s="54" t="str">
        <f>IF(AND('Mapa final'!$AL$48="Muy Baja",'Mapa final'!$AN$48="Moderado"),CONCATENATE("R2C",'Mapa final'!$U$48),"")</f>
        <v/>
      </c>
      <c r="Y57" s="54" t="str">
        <f>IF(AND('Mapa final'!$AL$49="Muy Baja",'Mapa final'!$AN$49="Moderado"),CONCATENATE("R2C",'Mapa final'!$U$49),"")</f>
        <v/>
      </c>
      <c r="Z57" s="54" t="str">
        <f>IF(AND('Mapa final'!$AL$50="Muy Baja",'Mapa final'!$AN$50="Moderado"),CONCATENATE("R2C",'Mapa final'!$U$50),"")</f>
        <v/>
      </c>
      <c r="AA57" s="54" t="str">
        <f>IF(AND('Mapa final'!$AL$51="Muy Baja",'Mapa final'!$AN$51="Moderado"),CONCATENATE("R2C",'Mapa final'!$U$51),"")</f>
        <v/>
      </c>
      <c r="AB57" s="55" t="str">
        <f>IF(AND('Mapa final'!$AL$62="Muy Baja",'Mapa final'!$AN$52="Moderado"),CONCATENATE("R2C",'Mapa final'!$U$52),"")</f>
        <v/>
      </c>
      <c r="AC57" s="38" t="str">
        <f>IF(AND('Mapa final'!$AL$47="Muy Baja",'Mapa final'!$AN$47="Mayor"),CONCATENATE("R2C",'Mapa final'!$U$47),"")</f>
        <v/>
      </c>
      <c r="AD57" s="39" t="str">
        <f>IF(AND('Mapa final'!$AL$48="Muy Baja",'Mapa final'!$AN$48="Mayor"),CONCATENATE("R2C",'Mapa final'!$U$48),"")</f>
        <v/>
      </c>
      <c r="AE57" s="39" t="str">
        <f>IF(AND('Mapa final'!$AL$49="Muy Baja",'Mapa final'!$AN$49="Mayor"),CONCATENATE("R2C",'Mapa final'!$U$49),"")</f>
        <v/>
      </c>
      <c r="AF57" s="39" t="str">
        <f>IF(AND('Mapa final'!$AL$50="Muy Baja",'Mapa final'!$AN$50="Mayor"),CONCATENATE("R2C",'Mapa final'!$U$50),"")</f>
        <v/>
      </c>
      <c r="AG57" s="39" t="str">
        <f>IF(AND('Mapa final'!$AL$51="Muy Baja",'Mapa final'!$AN$51="Mayor"),CONCATENATE("R2C",'Mapa final'!$U$51),"")</f>
        <v/>
      </c>
      <c r="AH57" s="40" t="str">
        <f>IF(AND('Mapa final'!$AL$62="Muy Baja",'Mapa final'!$AN$52="Mayor"),CONCATENATE("R2C",'Mapa final'!$U$52),"")</f>
        <v/>
      </c>
      <c r="AI57" s="41" t="str">
        <f>IF(AND('Mapa final'!$AL$47="Muy Baja",'Mapa final'!$AN$47="Catastrófico"),CONCATENATE("R2C",'Mapa final'!$U$47),"")</f>
        <v/>
      </c>
      <c r="AJ57" s="42" t="str">
        <f>IF(AND('Mapa final'!$AL$48="Muy Baja",'Mapa final'!$AN$48="Catastrófico"),CONCATENATE("R2C",'Mapa final'!$U$48),"")</f>
        <v/>
      </c>
      <c r="AK57" s="42" t="str">
        <f>IF(AND('Mapa final'!$AL$49="Muy Baja",'Mapa final'!$AN$49="Catastrófico"),CONCATENATE("R2C",'Mapa final'!$U$49),"")</f>
        <v/>
      </c>
      <c r="AL57" s="42" t="str">
        <f>IF(AND('Mapa final'!$AL$50="Muy Baja",'Mapa final'!$AN$50="Catastrófico"),CONCATENATE("R2C",'Mapa final'!$U$50),"")</f>
        <v/>
      </c>
      <c r="AM57" s="42" t="str">
        <f>IF(AND('Mapa final'!$AL$51="Muy Baja",'Mapa final'!$AN$51="Catastrófico"),CONCATENATE("R2C",'Mapa final'!$U$51),"")</f>
        <v/>
      </c>
      <c r="AN57" s="43" t="str">
        <f>IF(AND('Mapa final'!$AL$62="Muy Baja",'Mapa final'!$AN$52="Catastrófico"),CONCATENATE("R2C",'Mapa final'!$U$52),"")</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433"/>
      <c r="D58" s="433"/>
      <c r="E58" s="434"/>
      <c r="F58" s="476"/>
      <c r="G58" s="477"/>
      <c r="H58" s="477"/>
      <c r="I58" s="477"/>
      <c r="J58" s="478"/>
      <c r="K58" s="62" t="str">
        <f>IF(AND('Mapa final'!$AL$53="Muy Baja",'Mapa final'!$AN$53="Leve"),CONCATENATE("R2C",'Mapa final'!$U$53),"")</f>
        <v/>
      </c>
      <c r="L58" s="63" t="str">
        <f>IF(AND('Mapa final'!$AL$54="Muy Baja",'Mapa final'!$AN$54="Leve"),CONCATENATE("R2C",'Mapa final'!$U$54),"")</f>
        <v/>
      </c>
      <c r="M58" s="63" t="str">
        <f>IF(AND('Mapa final'!$AL$55="Muy Baja",'Mapa final'!$AN$55="Leve"),CONCATENATE("R2C",'Mapa final'!$U$55),"")</f>
        <v/>
      </c>
      <c r="N58" s="63" t="str">
        <f>IF(AND('Mapa final'!$AL$56="Muy Baja",'Mapa final'!$AN$56="Leve"),CONCATENATE("R2C",'Mapa final'!$U$56),"")</f>
        <v/>
      </c>
      <c r="O58" s="63" t="str">
        <f>IF(AND('Mapa final'!$AL$57="Muy Baja",'Mapa final'!$AN$57="Leve"),CONCATENATE("R2C",'Mapa final'!$U$57),"")</f>
        <v/>
      </c>
      <c r="P58" s="64" t="str">
        <f>IF(AND('Mapa final'!$AL$58="Muy Baja",'Mapa final'!$AN$58="Leve"),CONCATENATE("R2C",'Mapa final'!$U$58),"")</f>
        <v/>
      </c>
      <c r="Q58" s="62" t="str">
        <f>IF(AND('Mapa final'!$AL$53="Muy Baja",'Mapa final'!$AN$53="Menor"),CONCATENATE("R2C",'Mapa final'!$U$53),"")</f>
        <v/>
      </c>
      <c r="R58" s="63" t="str">
        <f>IF(AND('Mapa final'!$AL$54="Muy Baja",'Mapa final'!$AN$54="Menor"),CONCATENATE("R2C",'Mapa final'!$U$54),"")</f>
        <v/>
      </c>
      <c r="S58" s="63" t="str">
        <f>IF(AND('Mapa final'!$AL$55="Muy Baja",'Mapa final'!$AN$55="Menor"),CONCATENATE("R2C",'Mapa final'!$U$55),"")</f>
        <v/>
      </c>
      <c r="T58" s="63" t="str">
        <f>IF(AND('Mapa final'!$AL$56="Muy Baja",'Mapa final'!$AN$56="Menor"),CONCATENATE("R2C",'Mapa final'!$U$56),"")</f>
        <v/>
      </c>
      <c r="U58" s="63" t="str">
        <f>IF(AND('Mapa final'!$AL$57="Muy Baja",'Mapa final'!$AN$57="Menor"),CONCATENATE("R2C",'Mapa final'!$U$57),"")</f>
        <v/>
      </c>
      <c r="V58" s="64" t="str">
        <f>IF(AND('Mapa final'!$AL$58="Muy Baja",'Mapa final'!$AN$58="Menor"),CONCATENATE("R2C",'Mapa final'!$U$58),"")</f>
        <v/>
      </c>
      <c r="W58" s="53" t="str">
        <f>IF(AND('Mapa final'!$AL$53="Muy Baja",'Mapa final'!$AN$53="Moderado"),CONCATENATE("R2C",'Mapa final'!$U$53),"")</f>
        <v/>
      </c>
      <c r="X58" s="54" t="str">
        <f>IF(AND('Mapa final'!$AL$54="Muy Baja",'Mapa final'!$AN$54="Moderado"),CONCATENATE("R2C",'Mapa final'!$U$54),"")</f>
        <v/>
      </c>
      <c r="Y58" s="54" t="str">
        <f>IF(AND('Mapa final'!$AL$55="Muy Baja",'Mapa final'!$AN$55="Moderado"),CONCATENATE("R2C",'Mapa final'!$U$55),"")</f>
        <v/>
      </c>
      <c r="Z58" s="54" t="str">
        <f>IF(AND('Mapa final'!$AL$56="Muy Baja",'Mapa final'!$AN$56="Moderado"),CONCATENATE("R2C",'Mapa final'!$U$56),"")</f>
        <v/>
      </c>
      <c r="AA58" s="54" t="str">
        <f>IF(AND('Mapa final'!$AL$57="Muy Baja",'Mapa final'!$AN$57="Moderado"),CONCATENATE("R2C",'Mapa final'!$U$57),"")</f>
        <v/>
      </c>
      <c r="AB58" s="55" t="str">
        <f>IF(AND('Mapa final'!$AL$58="Muy Baja",'Mapa final'!$AN$58="Moderado"),CONCATENATE("R2C",'Mapa final'!$U$58),"")</f>
        <v/>
      </c>
      <c r="AC58" s="38" t="str">
        <f>IF(AND('Mapa final'!$AL$53="Muy Baja",'Mapa final'!$AN$53="Mayor"),CONCATENATE("R2C",'Mapa final'!$U$53),"")</f>
        <v/>
      </c>
      <c r="AD58" s="39" t="str">
        <f>IF(AND('Mapa final'!$AL$54="Muy Baja",'Mapa final'!$AN$54="Mayor"),CONCATENATE("R2C",'Mapa final'!$U$54),"")</f>
        <v/>
      </c>
      <c r="AE58" s="39" t="str">
        <f>IF(AND('Mapa final'!$AL$55="Muy Baja",'Mapa final'!$AN$55="Mayor"),CONCATENATE("R2C",'Mapa final'!$U$55),"")</f>
        <v/>
      </c>
      <c r="AF58" s="39" t="str">
        <f>IF(AND('Mapa final'!$AL$56="Muy Baja",'Mapa final'!$AN$56="Mayor"),CONCATENATE("R2C",'Mapa final'!$U$56),"")</f>
        <v/>
      </c>
      <c r="AG58" s="39" t="str">
        <f>IF(AND('Mapa final'!$AL$57="Muy Baja",'Mapa final'!$AN$57="Mayor"),CONCATENATE("R2C",'Mapa final'!$U$57),"")</f>
        <v/>
      </c>
      <c r="AH58" s="40" t="str">
        <f>IF(AND('Mapa final'!$AL$58="Muy Baja",'Mapa final'!$AN$58="Mayor"),CONCATENATE("R2C",'Mapa final'!$U$58),"")</f>
        <v/>
      </c>
      <c r="AI58" s="41" t="str">
        <f>IF(AND('Mapa final'!$AL$53="Muy Baja",'Mapa final'!$AN$53="Catastrófico"),CONCATENATE("R2C",'Mapa final'!$U$53),"")</f>
        <v/>
      </c>
      <c r="AJ58" s="42" t="str">
        <f>IF(AND('Mapa final'!$AL$54="Muy Baja",'Mapa final'!$AN$54="Catastrófico"),CONCATENATE("R2C",'Mapa final'!$U$54),"")</f>
        <v/>
      </c>
      <c r="AK58" s="42" t="str">
        <f>IF(AND('Mapa final'!$AL$55="Muy Baja",'Mapa final'!$AN$55="Catastrófico"),CONCATENATE("R2C",'Mapa final'!$U$55),"")</f>
        <v/>
      </c>
      <c r="AL58" s="42" t="str">
        <f>IF(AND('Mapa final'!$AL$56="Muy Baja",'Mapa final'!$AN$56="Catastrófico"),CONCATENATE("R2C",'Mapa final'!$U$56),"")</f>
        <v/>
      </c>
      <c r="AM58" s="42" t="str">
        <f>IF(AND('Mapa final'!$AL$57="Muy Baja",'Mapa final'!$AN$57="Catastrófico"),CONCATENATE("R2C",'Mapa final'!$U$57),"")</f>
        <v/>
      </c>
      <c r="AN58" s="43" t="str">
        <f>IF(AND('Mapa final'!$AL$58="Muy Baja",'Mapa final'!$AN$58="Catastrófico"),CONCATENATE("R2C",'Mapa final'!$U$58),"")</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433"/>
      <c r="D59" s="433"/>
      <c r="E59" s="434"/>
      <c r="F59" s="476"/>
      <c r="G59" s="477"/>
      <c r="H59" s="477"/>
      <c r="I59" s="477"/>
      <c r="J59" s="478"/>
      <c r="K59" s="62" t="str">
        <f>IF(AND('Mapa final'!$AL$59="Muy Baja",'Mapa final'!$AN$59="Leve"),CONCATENATE("R2C",'Mapa final'!$U$59),"")</f>
        <v/>
      </c>
      <c r="L59" s="63" t="str">
        <f>IF(AND('Mapa final'!$AL$60="Muy Baja",'Mapa final'!$AN$60="Leve"),CONCATENATE("R2C",'Mapa final'!$U$60),"")</f>
        <v/>
      </c>
      <c r="M59" s="63" t="str">
        <f>IF(AND('Mapa final'!$AL$61="Muy Baja",'Mapa final'!$AN$61="Leve"),CONCATENATE("R2C",'Mapa final'!$U$61),"")</f>
        <v/>
      </c>
      <c r="N59" s="63" t="str">
        <f>IF(AND('Mapa final'!$AL$62="Muy Baja",'Mapa final'!$AN$62="Leve"),CONCATENATE("R2C",'Mapa final'!$U$62),"")</f>
        <v/>
      </c>
      <c r="O59" s="63" t="str">
        <f>IF(AND('Mapa final'!$AL$63="Muy Baja",'Mapa final'!$AN$63="Leve"),CONCATENATE("R2C",'Mapa final'!$U$63),"")</f>
        <v/>
      </c>
      <c r="P59" s="64" t="str">
        <f>IF(AND('Mapa final'!$AL$64="Muy Baja",'Mapa final'!$AN$64="Leve"),CONCATENATE("R2C",'Mapa final'!$U$64),"")</f>
        <v/>
      </c>
      <c r="Q59" s="62" t="str">
        <f>IF(AND('Mapa final'!$AL$59="Muy Baja",'Mapa final'!$AN$59="Menor"),CONCATENATE("R2C",'Mapa final'!$U$59),"")</f>
        <v/>
      </c>
      <c r="R59" s="63" t="str">
        <f>IF(AND('Mapa final'!$AL$60="Muy Baja",'Mapa final'!$AN$60="Menor"),CONCATENATE("R2C",'Mapa final'!$U$60),"")</f>
        <v/>
      </c>
      <c r="S59" s="63" t="str">
        <f>IF(AND('Mapa final'!$AL$61="Muy Baja",'Mapa final'!$AN$61="Menor"),CONCATENATE("R2C",'Mapa final'!$U$61),"")</f>
        <v/>
      </c>
      <c r="T59" s="63" t="str">
        <f>IF(AND('Mapa final'!$AL$62="Muy Baja",'Mapa final'!$AN$62="Menor"),CONCATENATE("R2C",'Mapa final'!$U$62),"")</f>
        <v/>
      </c>
      <c r="U59" s="63" t="str">
        <f>IF(AND('Mapa final'!$AL$63="Muy Baja",'Mapa final'!$AN$63="Menor"),CONCATENATE("R2C",'Mapa final'!$U$63),"")</f>
        <v/>
      </c>
      <c r="V59" s="64" t="str">
        <f>IF(AND('Mapa final'!$AL$64="Muy Baja",'Mapa final'!$AN$64="Menor"),CONCATENATE("R2C",'Mapa final'!$U$64),"")</f>
        <v/>
      </c>
      <c r="W59" s="53" t="str">
        <f>IF(AND('Mapa final'!$AL$59="Muy Baja",'Mapa final'!$AN$59="Moderado"),CONCATENATE("R2C",'Mapa final'!$U$59),"")</f>
        <v/>
      </c>
      <c r="X59" s="54" t="str">
        <f>IF(AND('Mapa final'!$AL$60="Muy Baja",'Mapa final'!$AN$60="Moderado"),CONCATENATE("R2C",'Mapa final'!$U$60),"")</f>
        <v/>
      </c>
      <c r="Y59" s="54" t="str">
        <f>IF(AND('Mapa final'!$AL$61="Muy Baja",'Mapa final'!$AN$61="Moderado"),CONCATENATE("R2C",'Mapa final'!$U$61),"")</f>
        <v/>
      </c>
      <c r="Z59" s="54" t="str">
        <f>IF(AND('Mapa final'!$AL$62="Muy Baja",'Mapa final'!$AN$62="Moderado"),CONCATENATE("R2C",'Mapa final'!$U$62),"")</f>
        <v/>
      </c>
      <c r="AA59" s="54" t="str">
        <f>IF(AND('Mapa final'!$AL$63="Muy Baja",'Mapa final'!$AN$63="Moderado"),CONCATENATE("R2C",'Mapa final'!$U$63),"")</f>
        <v/>
      </c>
      <c r="AB59" s="55" t="str">
        <f>IF(AND('Mapa final'!$AL$64="Muy Baja",'Mapa final'!$AN$64="Moderado"),CONCATENATE("R2C",'Mapa final'!$U$64),"")</f>
        <v/>
      </c>
      <c r="AC59" s="38" t="str">
        <f>IF(AND('Mapa final'!$AL$59="Muy Baja",'Mapa final'!$AN$59="Mayor"),CONCATENATE("R2C",'Mapa final'!$U$59),"")</f>
        <v/>
      </c>
      <c r="AD59" s="39" t="str">
        <f>IF(AND('Mapa final'!$AL$60="Muy Baja",'Mapa final'!$AN$60="Mayor"),CONCATENATE("R2C",'Mapa final'!$U$60),"")</f>
        <v/>
      </c>
      <c r="AE59" s="39" t="str">
        <f>IF(AND('Mapa final'!$AL$61="Muy Baja",'Mapa final'!$AN$61="Mayor"),CONCATENATE("R2C",'Mapa final'!$U$61),"")</f>
        <v/>
      </c>
      <c r="AF59" s="39" t="str">
        <f>IF(AND('Mapa final'!$AL$62="Muy Baja",'Mapa final'!$AN$62="Mayor"),CONCATENATE("R2C",'Mapa final'!$U$62),"")</f>
        <v/>
      </c>
      <c r="AG59" s="39" t="str">
        <f>IF(AND('Mapa final'!$AL$63="Muy Baja",'Mapa final'!$AN$63="Mayor"),CONCATENATE("R2C",'Mapa final'!$U$63),"")</f>
        <v/>
      </c>
      <c r="AH59" s="40" t="str">
        <f>IF(AND('Mapa final'!$AL$64="Muy Baja",'Mapa final'!$AN$64="Mayor"),CONCATENATE("R2C",'Mapa final'!$U$64),"")</f>
        <v/>
      </c>
      <c r="AI59" s="41" t="str">
        <f>IF(AND('Mapa final'!$AL$59="Muy Baja",'Mapa final'!$AN$59="Catastrófico"),CONCATENATE("R2C",'Mapa final'!$U$59),"")</f>
        <v/>
      </c>
      <c r="AJ59" s="42" t="str">
        <f>IF(AND('Mapa final'!$AL$60="Muy Baja",'Mapa final'!$AN$60="Catastrófico"),CONCATENATE("R2C",'Mapa final'!$U$60),"")</f>
        <v/>
      </c>
      <c r="AK59" s="42" t="str">
        <f>IF(AND('Mapa final'!$AL$61="Muy Baja",'Mapa final'!$AN$61="Catastrófico"),CONCATENATE("R2C",'Mapa final'!$U$61),"")</f>
        <v/>
      </c>
      <c r="AL59" s="42" t="str">
        <f>IF(AND('Mapa final'!$AL$62="Muy Baja",'Mapa final'!$AN$62="Catastrófico"),CONCATENATE("R2C",'Mapa final'!$U$62),"")</f>
        <v/>
      </c>
      <c r="AM59" s="42" t="str">
        <f>IF(AND('Mapa final'!$AL$63="Muy Baja",'Mapa final'!$AN$63="Catastrófico"),CONCATENATE("R2C",'Mapa final'!$U$63),"")</f>
        <v/>
      </c>
      <c r="AN59" s="43" t="str">
        <f>IF(AND('Mapa final'!$AL$64="Muy Baja",'Mapa final'!$AN$64="Catastrófico"),CONCATENATE("R2C",'Mapa final'!$U$64),"")</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433"/>
      <c r="D60" s="433"/>
      <c r="E60" s="434"/>
      <c r="F60" s="476"/>
      <c r="G60" s="477"/>
      <c r="H60" s="477"/>
      <c r="I60" s="477"/>
      <c r="J60" s="478"/>
      <c r="K60" s="62" t="str">
        <f>IF(AND('Mapa final'!$AL$65="Muy Baja",'Mapa final'!$AN$65="Leve"),CONCATENATE("R2C",'Mapa final'!$U$65),"")</f>
        <v/>
      </c>
      <c r="L60" s="63" t="str">
        <f>IF(AND('Mapa final'!$AL$66="Muy Baja",'Mapa final'!$AN$66="Leve"),CONCATENATE("R2C",'Mapa final'!$U$66),"")</f>
        <v/>
      </c>
      <c r="M60" s="63" t="str">
        <f>IF(AND('Mapa final'!$AL$67="Muy Baja",'Mapa final'!$AN$67="Leve"),CONCATENATE("R2C",'Mapa final'!$U$67),"")</f>
        <v/>
      </c>
      <c r="N60" s="63" t="str">
        <f>IF(AND('Mapa final'!$AL$68="Muy Baja",'Mapa final'!$AN$68="Leve"),CONCATENATE("R2C",'Mapa final'!$U$68),"")</f>
        <v/>
      </c>
      <c r="O60" s="63" t="str">
        <f>IF(AND('Mapa final'!$AL$69="Muy Baja",'Mapa final'!$AN$69="Leve"),CONCATENATE("R2C",'Mapa final'!$U$69),"")</f>
        <v/>
      </c>
      <c r="P60" s="64" t="str">
        <f>IF(AND('Mapa final'!$AL$70="Muy Baja",'Mapa final'!$AN$70="Leve"),CONCATENATE("R2C",'Mapa final'!$U$70),"")</f>
        <v/>
      </c>
      <c r="Q60" s="62" t="str">
        <f>IF(AND('Mapa final'!$AL$65="Muy Baja",'Mapa final'!$AN$65="Menor"),CONCATENATE("R2C",'Mapa final'!$U$65),"")</f>
        <v/>
      </c>
      <c r="R60" s="63" t="str">
        <f>IF(AND('Mapa final'!$AL$66="Muy Baja",'Mapa final'!$AN$66="Menor"),CONCATENATE("R2C",'Mapa final'!$U$66),"")</f>
        <v/>
      </c>
      <c r="S60" s="63" t="str">
        <f>IF(AND('Mapa final'!$AL$67="Muy Baja",'Mapa final'!$AN$67="Menor"),CONCATENATE("R2C",'Mapa final'!$U$67),"")</f>
        <v/>
      </c>
      <c r="T60" s="63" t="str">
        <f>IF(AND('Mapa final'!$AL$68="Muy Baja",'Mapa final'!$AN$68="Menor"),CONCATENATE("R2C",'Mapa final'!$U$68),"")</f>
        <v/>
      </c>
      <c r="U60" s="63" t="str">
        <f>IF(AND('Mapa final'!$AL$69="Muy Baja",'Mapa final'!$AN$69="Menor"),CONCATENATE("R2C",'Mapa final'!$U$69),"")</f>
        <v/>
      </c>
      <c r="V60" s="64" t="str">
        <f>IF(AND('Mapa final'!$AL$70="Muy Baja",'Mapa final'!$AN$70="Menor"),CONCATENATE("R2C",'Mapa final'!$U$70),"")</f>
        <v/>
      </c>
      <c r="W60" s="53" t="str">
        <f>IF(AND('Mapa final'!$AL$65="Muy Baja",'Mapa final'!$AN$65="Moderado"),CONCATENATE("R2C",'Mapa final'!$U$65),"")</f>
        <v/>
      </c>
      <c r="X60" s="54" t="str">
        <f>IF(AND('Mapa final'!$AL$66="Muy Baja",'Mapa final'!$AN$66="Moderado"),CONCATENATE("R2C",'Mapa final'!$U$66),"")</f>
        <v/>
      </c>
      <c r="Y60" s="54" t="str">
        <f>IF(AND('Mapa final'!$AL$67="Muy Baja",'Mapa final'!$AN$67="Moderado"),CONCATENATE("R2C",'Mapa final'!$U$67),"")</f>
        <v/>
      </c>
      <c r="Z60" s="54" t="str">
        <f>IF(AND('Mapa final'!$AL$68="Muy Baja",'Mapa final'!$AN$68="Moderado"),CONCATENATE("R2C",'Mapa final'!$U$68),"")</f>
        <v/>
      </c>
      <c r="AA60" s="54" t="str">
        <f>IF(AND('Mapa final'!$AL$69="Muy Baja",'Mapa final'!$AN$69="Moderado"),CONCATENATE("R2C",'Mapa final'!$U$69),"")</f>
        <v/>
      </c>
      <c r="AB60" s="55" t="str">
        <f>IF(AND('Mapa final'!$AL$70="Muy Baja",'Mapa final'!$AN$70="Moderado"),CONCATENATE("R2C",'Mapa final'!$U$70),"")</f>
        <v/>
      </c>
      <c r="AC60" s="38" t="str">
        <f>IF(AND('Mapa final'!$AL$65="Muy Baja",'Mapa final'!$AN$65="Mayor"),CONCATENATE("R2C",'Mapa final'!$U$65),"")</f>
        <v/>
      </c>
      <c r="AD60" s="39" t="str">
        <f>IF(AND('Mapa final'!$AL$66="Muy Baja",'Mapa final'!$AN$66="Mayor"),CONCATENATE("R2C",'Mapa final'!$U$66),"")</f>
        <v/>
      </c>
      <c r="AE60" s="39" t="str">
        <f>IF(AND('Mapa final'!$AL$67="Muy Baja",'Mapa final'!$AN$67="Mayor"),CONCATENATE("R2C",'Mapa final'!$U$67),"")</f>
        <v/>
      </c>
      <c r="AF60" s="39" t="str">
        <f>IF(AND('Mapa final'!$AL$68="Muy Baja",'Mapa final'!$AN$68="Mayor"),CONCATENATE("R2C",'Mapa final'!$U$68),"")</f>
        <v/>
      </c>
      <c r="AG60" s="39" t="str">
        <f>IF(AND('Mapa final'!$AL$69="Muy Baja",'Mapa final'!$AN$69="Mayor"),CONCATENATE("R2C",'Mapa final'!$U$69),"")</f>
        <v/>
      </c>
      <c r="AH60" s="40" t="str">
        <f>IF(AND('Mapa final'!$AL$70="Muy Baja",'Mapa final'!$AN$70="Mayor"),CONCATENATE("R2C",'Mapa final'!$U$70),"")</f>
        <v/>
      </c>
      <c r="AI60" s="41" t="str">
        <f>IF(AND('Mapa final'!$AL$65="Muy Baja",'Mapa final'!$AN$65="Catastrófico"),CONCATENATE("R2C",'Mapa final'!$U$65),"")</f>
        <v/>
      </c>
      <c r="AJ60" s="42" t="str">
        <f>IF(AND('Mapa final'!$AL$66="Muy Baja",'Mapa final'!$AN$66="Catastrófico"),CONCATENATE("R2C",'Mapa final'!$U$66),"")</f>
        <v/>
      </c>
      <c r="AK60" s="42" t="str">
        <f>IF(AND('Mapa final'!$AL$67="Muy Baja",'Mapa final'!$AN$67="Catastrófico"),CONCATENATE("R2C",'Mapa final'!$U$67),"")</f>
        <v/>
      </c>
      <c r="AL60" s="42" t="str">
        <f>IF(AND('Mapa final'!$AL$68="Muy Baja",'Mapa final'!$AN$68="Catastrófico"),CONCATENATE("R2C",'Mapa final'!$U$68),"")</f>
        <v/>
      </c>
      <c r="AM60" s="42" t="str">
        <f>IF(AND('Mapa final'!$AL$69="Muy Baja",'Mapa final'!$AN$69="Catastrófico"),CONCATENATE("R2C",'Mapa final'!$U$69),"")</f>
        <v/>
      </c>
      <c r="AN60" s="43" t="str">
        <f>IF(AND('Mapa final'!$AL$70="Muy Baja",'Mapa final'!$AN$70="Catastrófico"),CONCATENATE("R2C",'Mapa final'!$U$70),"")</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433"/>
      <c r="D61" s="433"/>
      <c r="E61" s="434"/>
      <c r="F61" s="479"/>
      <c r="G61" s="480"/>
      <c r="H61" s="480"/>
      <c r="I61" s="480"/>
      <c r="J61" s="481"/>
      <c r="K61" s="65" t="str">
        <f>IF(AND('Mapa final'!$AL$71="Muy Baja",'Mapa final'!$AN$71="Leve"),CONCATENATE("R2C",'Mapa final'!$U$71),"")</f>
        <v/>
      </c>
      <c r="L61" s="66" t="str">
        <f>IF(AND('Mapa final'!$AL$72="Muy Baja",'Mapa final'!$AN$72="Leve"),CONCATENATE("R2C",'Mapa final'!$U$72),"")</f>
        <v/>
      </c>
      <c r="M61" s="66" t="str">
        <f>IF(AND('Mapa final'!$AL$73="Muy Baja",'Mapa final'!$AN$73="Leve"),CONCATENATE("R2C",'Mapa final'!$U$73),"")</f>
        <v/>
      </c>
      <c r="N61" s="66" t="str">
        <f>IF(AND('Mapa final'!$AL$74="Muy Baja",'Mapa final'!$AN$74="Leve"),CONCATENATE("R2C",'Mapa final'!$U$74),"")</f>
        <v/>
      </c>
      <c r="O61" s="66" t="str">
        <f>IF(AND('Mapa final'!$AL$76="Muy Baja",'Mapa final'!$AN$76="Leve"),CONCATENATE("R2C",'Mapa final'!$U$76),"")</f>
        <v/>
      </c>
      <c r="P61" s="67" t="str">
        <f>IF(AND('Mapa final'!$AL$77="Muy Baja",'Mapa final'!$AN$77="Leve"),CONCATENATE("R2C",'Mapa final'!$U$77),"")</f>
        <v/>
      </c>
      <c r="Q61" s="65" t="str">
        <f>IF(AND('Mapa final'!$AL$71="Muy Baja",'Mapa final'!$AN$71="Menor"),CONCATENATE("R2C",'Mapa final'!$U$71),"")</f>
        <v/>
      </c>
      <c r="R61" s="66" t="str">
        <f>IF(AND('Mapa final'!$AL$72="Muy Baja",'Mapa final'!$AN$72="Menor"),CONCATENATE("R2C",'Mapa final'!$U$72),"")</f>
        <v/>
      </c>
      <c r="S61" s="66" t="str">
        <f>IF(AND('Mapa final'!$AL$73="Muy Baja",'Mapa final'!$AN$73="Menor"),CONCATENATE("R2C",'Mapa final'!$U$73),"")</f>
        <v/>
      </c>
      <c r="T61" s="66" t="str">
        <f>IF(AND('Mapa final'!$AL$74="Muy Baja",'Mapa final'!$AN$74="Menor"),CONCATENATE("R2C",'Mapa final'!$U$74),"")</f>
        <v/>
      </c>
      <c r="U61" s="66" t="str">
        <f>IF(AND('Mapa final'!$AL$76="Muy Baja",'Mapa final'!$AN$76="Menor"),CONCATENATE("R2C",'Mapa final'!$U$76),"")</f>
        <v/>
      </c>
      <c r="V61" s="67" t="str">
        <f>IF(AND('Mapa final'!$AL$77="Muy Baja",'Mapa final'!$AN$77="Menor"),CONCATENATE("R2C",'Mapa final'!$U$77),"")</f>
        <v/>
      </c>
      <c r="W61" s="56" t="str">
        <f>IF(AND('Mapa final'!$AL$71="Muy Baja",'Mapa final'!$AN$71="Moderado"),CONCATENATE("R2C",'Mapa final'!$U$71),"")</f>
        <v/>
      </c>
      <c r="X61" s="57" t="str">
        <f>IF(AND('Mapa final'!$AL$72="Muy Baja",'Mapa final'!$AN$72="Moderado"),CONCATENATE("R2C",'Mapa final'!$U$72),"")</f>
        <v/>
      </c>
      <c r="Y61" s="57" t="str">
        <f>IF(AND('Mapa final'!$AL$73="Muy Baja",'Mapa final'!$AN$73="Moderado"),CONCATENATE("R2C",'Mapa final'!$U$73),"")</f>
        <v/>
      </c>
      <c r="Z61" s="57" t="str">
        <f>IF(AND('Mapa final'!$AL$74="Muy Baja",'Mapa final'!$AN$74="Moderado"),CONCATENATE("R2C",'Mapa final'!$U$74),"")</f>
        <v/>
      </c>
      <c r="AA61" s="57" t="str">
        <f>IF(AND('Mapa final'!$AL$76="Muy Baja",'Mapa final'!$AN$76="Moderado"),CONCATENATE("R2C",'Mapa final'!$U$76),"")</f>
        <v/>
      </c>
      <c r="AB61" s="58" t="str">
        <f>IF(AND('Mapa final'!$AL$77="Muy Baja",'Mapa final'!$AN$77="Moderado"),CONCATENATE("R2C",'Mapa final'!$U$77),"")</f>
        <v/>
      </c>
      <c r="AC61" s="44" t="str">
        <f>IF(AND('Mapa final'!$AL$71="Muy Baja",'Mapa final'!$AN$71="Mayor"),CONCATENATE("R2C",'Mapa final'!$U$71),"")</f>
        <v/>
      </c>
      <c r="AD61" s="45" t="str">
        <f>IF(AND('Mapa final'!$AL$72="Muy Baja",'Mapa final'!$AN$72="Mayor"),CONCATENATE("R2C",'Mapa final'!$U$72),"")</f>
        <v/>
      </c>
      <c r="AE61" s="45" t="str">
        <f>IF(AND('Mapa final'!$AL$73="Muy Baja",'Mapa final'!$AN$73="Mayor"),CONCATENATE("R2C",'Mapa final'!$U$73),"")</f>
        <v/>
      </c>
      <c r="AF61" s="45" t="str">
        <f>IF(AND('Mapa final'!$AL$74="Muy Baja",'Mapa final'!$AN$74="Mayor"),CONCATENATE("R2C",'Mapa final'!$U$74),"")</f>
        <v/>
      </c>
      <c r="AG61" s="45" t="str">
        <f>IF(AND('Mapa final'!$AL$76="Muy Baja",'Mapa final'!$AN$76="Mayor"),CONCATENATE("R2C",'Mapa final'!$U$76),"")</f>
        <v/>
      </c>
      <c r="AH61" s="46" t="str">
        <f>IF(AND('Mapa final'!$AL$77="Muy Baja",'Mapa final'!$AN$77="Mayor"),CONCATENATE("R2C",'Mapa final'!$U$77),"")</f>
        <v/>
      </c>
      <c r="AI61" s="47" t="str">
        <f>IF(AND('Mapa final'!$AL$71="Muy Baja",'Mapa final'!$AN$71="Catastrófico"),CONCATENATE("R2C",'Mapa final'!$U$71),"")</f>
        <v/>
      </c>
      <c r="AJ61" s="48" t="str">
        <f>IF(AND('Mapa final'!$AL$72="Muy Baja",'Mapa final'!$AN$72="Catastrófico"),CONCATENATE("R2C",'Mapa final'!$U$72),"")</f>
        <v/>
      </c>
      <c r="AK61" s="48" t="str">
        <f>IF(AND('Mapa final'!$AL$73="Muy Baja",'Mapa final'!$AN$73="Catastrófico"),CONCATENATE("R2C",'Mapa final'!$U$73),"")</f>
        <v/>
      </c>
      <c r="AL61" s="48" t="str">
        <f>IF(AND('Mapa final'!$AL$74="Muy Baja",'Mapa final'!$AN$74="Catastrófico"),CONCATENATE("R2C",'Mapa final'!$U$74),"")</f>
        <v/>
      </c>
      <c r="AM61" s="48" t="str">
        <f>IF(AND('Mapa final'!$AL$76="Muy Baja",'Mapa final'!$AN$76="Catastrófico"),CONCATENATE("R2C",'Mapa final'!$U$76),"")</f>
        <v/>
      </c>
      <c r="AN61" s="49" t="str">
        <f>IF(AND('Mapa final'!$AL$77="Muy Baja",'Mapa final'!$AN$77="Catastrófico"),CONCATENATE("R2C",'Mapa final'!$U$77),"")</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73" t="s">
        <v>111</v>
      </c>
      <c r="L62" s="474"/>
      <c r="M62" s="474"/>
      <c r="N62" s="474"/>
      <c r="O62" s="474"/>
      <c r="P62" s="475"/>
      <c r="Q62" s="473" t="s">
        <v>110</v>
      </c>
      <c r="R62" s="474"/>
      <c r="S62" s="474"/>
      <c r="T62" s="474"/>
      <c r="U62" s="474"/>
      <c r="V62" s="475"/>
      <c r="W62" s="473" t="s">
        <v>109</v>
      </c>
      <c r="X62" s="474"/>
      <c r="Y62" s="474"/>
      <c r="Z62" s="474"/>
      <c r="AA62" s="474"/>
      <c r="AB62" s="475"/>
      <c r="AC62" s="473" t="s">
        <v>108</v>
      </c>
      <c r="AD62" s="482"/>
      <c r="AE62" s="474"/>
      <c r="AF62" s="474"/>
      <c r="AG62" s="474"/>
      <c r="AH62" s="475"/>
      <c r="AI62" s="473" t="s">
        <v>107</v>
      </c>
      <c r="AJ62" s="474"/>
      <c r="AK62" s="474"/>
      <c r="AL62" s="474"/>
      <c r="AM62" s="474"/>
      <c r="AN62" s="475"/>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76"/>
      <c r="L63" s="477"/>
      <c r="M63" s="477"/>
      <c r="N63" s="477"/>
      <c r="O63" s="477"/>
      <c r="P63" s="478"/>
      <c r="Q63" s="476"/>
      <c r="R63" s="477"/>
      <c r="S63" s="477"/>
      <c r="T63" s="477"/>
      <c r="U63" s="477"/>
      <c r="V63" s="478"/>
      <c r="W63" s="476"/>
      <c r="X63" s="477"/>
      <c r="Y63" s="477"/>
      <c r="Z63" s="477"/>
      <c r="AA63" s="477"/>
      <c r="AB63" s="478"/>
      <c r="AC63" s="476"/>
      <c r="AD63" s="477"/>
      <c r="AE63" s="477"/>
      <c r="AF63" s="477"/>
      <c r="AG63" s="477"/>
      <c r="AH63" s="478"/>
      <c r="AI63" s="476"/>
      <c r="AJ63" s="477"/>
      <c r="AK63" s="477"/>
      <c r="AL63" s="477"/>
      <c r="AM63" s="477"/>
      <c r="AN63" s="478"/>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76"/>
      <c r="L64" s="477"/>
      <c r="M64" s="477"/>
      <c r="N64" s="477"/>
      <c r="O64" s="477"/>
      <c r="P64" s="478"/>
      <c r="Q64" s="476"/>
      <c r="R64" s="477"/>
      <c r="S64" s="477"/>
      <c r="T64" s="477"/>
      <c r="U64" s="477"/>
      <c r="V64" s="478"/>
      <c r="W64" s="476"/>
      <c r="X64" s="477"/>
      <c r="Y64" s="477"/>
      <c r="Z64" s="477"/>
      <c r="AA64" s="477"/>
      <c r="AB64" s="478"/>
      <c r="AC64" s="476"/>
      <c r="AD64" s="477"/>
      <c r="AE64" s="477"/>
      <c r="AF64" s="477"/>
      <c r="AG64" s="477"/>
      <c r="AH64" s="478"/>
      <c r="AI64" s="476"/>
      <c r="AJ64" s="477"/>
      <c r="AK64" s="477"/>
      <c r="AL64" s="477"/>
      <c r="AM64" s="477"/>
      <c r="AN64" s="478"/>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76"/>
      <c r="L65" s="477"/>
      <c r="M65" s="477"/>
      <c r="N65" s="477"/>
      <c r="O65" s="477"/>
      <c r="P65" s="478"/>
      <c r="Q65" s="476"/>
      <c r="R65" s="477"/>
      <c r="S65" s="477"/>
      <c r="T65" s="477"/>
      <c r="U65" s="477"/>
      <c r="V65" s="478"/>
      <c r="W65" s="476"/>
      <c r="X65" s="477"/>
      <c r="Y65" s="477"/>
      <c r="Z65" s="477"/>
      <c r="AA65" s="477"/>
      <c r="AB65" s="478"/>
      <c r="AC65" s="476"/>
      <c r="AD65" s="477"/>
      <c r="AE65" s="477"/>
      <c r="AF65" s="477"/>
      <c r="AG65" s="477"/>
      <c r="AH65" s="478"/>
      <c r="AI65" s="476"/>
      <c r="AJ65" s="477"/>
      <c r="AK65" s="477"/>
      <c r="AL65" s="477"/>
      <c r="AM65" s="477"/>
      <c r="AN65" s="478"/>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76"/>
      <c r="L66" s="477"/>
      <c r="M66" s="477"/>
      <c r="N66" s="477"/>
      <c r="O66" s="477"/>
      <c r="P66" s="478"/>
      <c r="Q66" s="476"/>
      <c r="R66" s="477"/>
      <c r="S66" s="477"/>
      <c r="T66" s="477"/>
      <c r="U66" s="477"/>
      <c r="V66" s="478"/>
      <c r="W66" s="476"/>
      <c r="X66" s="477"/>
      <c r="Y66" s="477"/>
      <c r="Z66" s="477"/>
      <c r="AA66" s="477"/>
      <c r="AB66" s="478"/>
      <c r="AC66" s="476"/>
      <c r="AD66" s="477"/>
      <c r="AE66" s="477"/>
      <c r="AF66" s="477"/>
      <c r="AG66" s="477"/>
      <c r="AH66" s="478"/>
      <c r="AI66" s="476"/>
      <c r="AJ66" s="477"/>
      <c r="AK66" s="477"/>
      <c r="AL66" s="477"/>
      <c r="AM66" s="477"/>
      <c r="AN66" s="478"/>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79"/>
      <c r="L67" s="480"/>
      <c r="M67" s="480"/>
      <c r="N67" s="480"/>
      <c r="O67" s="480"/>
      <c r="P67" s="481"/>
      <c r="Q67" s="479"/>
      <c r="R67" s="480"/>
      <c r="S67" s="480"/>
      <c r="T67" s="480"/>
      <c r="U67" s="480"/>
      <c r="V67" s="481"/>
      <c r="W67" s="479"/>
      <c r="X67" s="480"/>
      <c r="Y67" s="480"/>
      <c r="Z67" s="480"/>
      <c r="AA67" s="480"/>
      <c r="AB67" s="481"/>
      <c r="AC67" s="479"/>
      <c r="AD67" s="480"/>
      <c r="AE67" s="480"/>
      <c r="AF67" s="480"/>
      <c r="AG67" s="480"/>
      <c r="AH67" s="481"/>
      <c r="AI67" s="479"/>
      <c r="AJ67" s="480"/>
      <c r="AK67" s="480"/>
      <c r="AL67" s="480"/>
      <c r="AM67" s="480"/>
      <c r="AN67" s="481"/>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C2:J5"/>
    <mergeCell ref="K2:AN5"/>
    <mergeCell ref="AO2:AU2"/>
    <mergeCell ref="AO3:AU3"/>
    <mergeCell ref="AO4:AU4"/>
    <mergeCell ref="AO5:AU5"/>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A8:B8"/>
    <mergeCell ref="K62:P67"/>
    <mergeCell ref="Q62:V67"/>
    <mergeCell ref="W62:AB67"/>
    <mergeCell ref="AC62:AH6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I27" sqref="I27"/>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23" t="s">
        <v>244</v>
      </c>
      <c r="C2" s="526" t="s">
        <v>205</v>
      </c>
      <c r="D2" s="527"/>
      <c r="E2" s="124" t="s">
        <v>388</v>
      </c>
      <c r="F2" s="125"/>
    </row>
    <row r="3" spans="1:6" ht="15.75" customHeight="1" x14ac:dyDescent="0.25">
      <c r="B3" s="524"/>
      <c r="C3" s="252"/>
      <c r="D3" s="254"/>
      <c r="E3" s="124" t="s">
        <v>264</v>
      </c>
      <c r="F3" s="125"/>
    </row>
    <row r="4" spans="1:6" ht="16.5" customHeight="1" x14ac:dyDescent="0.25">
      <c r="B4" s="524"/>
      <c r="C4" s="252"/>
      <c r="D4" s="254"/>
      <c r="E4" s="124" t="s">
        <v>387</v>
      </c>
      <c r="F4" s="125"/>
    </row>
    <row r="5" spans="1:6" ht="15" customHeight="1" thickBot="1" x14ac:dyDescent="0.3">
      <c r="B5" s="525"/>
      <c r="C5" s="528"/>
      <c r="D5" s="529"/>
      <c r="E5" s="124" t="s">
        <v>245</v>
      </c>
      <c r="F5" s="125"/>
    </row>
    <row r="7" spans="1:6" x14ac:dyDescent="0.25">
      <c r="A7" s="530" t="s">
        <v>266</v>
      </c>
      <c r="B7" s="142" t="s">
        <v>246</v>
      </c>
      <c r="C7" s="143" t="s">
        <v>247</v>
      </c>
      <c r="D7" s="143" t="s">
        <v>248</v>
      </c>
      <c r="E7" s="143" t="s">
        <v>249</v>
      </c>
    </row>
    <row r="8" spans="1:6" ht="28.5" x14ac:dyDescent="0.25">
      <c r="A8" s="530"/>
      <c r="B8" s="126">
        <v>45687</v>
      </c>
      <c r="C8" s="127" t="s">
        <v>395</v>
      </c>
      <c r="D8" s="128" t="s">
        <v>441</v>
      </c>
      <c r="E8" s="128" t="s">
        <v>394</v>
      </c>
    </row>
    <row r="9" spans="1:6" x14ac:dyDescent="0.25">
      <c r="A9" s="530"/>
      <c r="B9" s="126"/>
      <c r="C9" s="127"/>
      <c r="D9" s="128"/>
      <c r="E9" s="128"/>
    </row>
    <row r="10" spans="1:6" x14ac:dyDescent="0.25">
      <c r="A10" s="530"/>
      <c r="B10" s="126"/>
      <c r="C10" s="127"/>
      <c r="D10" s="128"/>
      <c r="E10" s="128"/>
    </row>
    <row r="11" spans="1:6" x14ac:dyDescent="0.25">
      <c r="A11" s="530"/>
      <c r="B11" s="126"/>
      <c r="C11" s="127"/>
      <c r="D11" s="128"/>
      <c r="E11" s="128"/>
    </row>
    <row r="12" spans="1:6" x14ac:dyDescent="0.25">
      <c r="A12" s="530"/>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Calidad ETITC</cp:lastModifiedBy>
  <cp:lastPrinted>2020-05-13T01:12:22Z</cp:lastPrinted>
  <dcterms:created xsi:type="dcterms:W3CDTF">2020-03-24T23:12:47Z</dcterms:created>
  <dcterms:modified xsi:type="dcterms:W3CDTF">2025-02-03T22:03:03Z</dcterms:modified>
</cp:coreProperties>
</file>