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490" windowHeight="7650"/>
  </bookViews>
  <sheets>
    <sheet name="Tablero Estratégico" sheetId="8" r:id="rId1"/>
    <sheet name="Tablero Eficacia - Efectividad" sheetId="12" state="hidden" r:id="rId2"/>
    <sheet name="Tablero Objeivos de Calidad" sheetId="13" state="hidden" r:id="rId3"/>
    <sheet name="Hoja4" sheetId="14" state="hidden" r:id="rId4"/>
    <sheet name="Tablero Maestro (2)" sheetId="11" state="hidden" r:id="rId5"/>
    <sheet name="Hoja1" sheetId="10" state="hidden" r:id="rId6"/>
    <sheet name="DE" sheetId="9" state="hidden" r:id="rId7"/>
  </sheets>
  <externalReferences>
    <externalReference r:id="rId8"/>
    <externalReference r:id="rId9"/>
  </externalReferences>
  <definedNames>
    <definedName name="_xlnm._FilterDatabase" localSheetId="0" hidden="1">'Tablero Estratégico'!$A$4:$CA$27</definedName>
    <definedName name="_xlnm.Print_Area" localSheetId="2">'Tablero Objeivos de Calidad'!$C$3:$F$29</definedName>
    <definedName name="CUMPLIMIENTO_METAS" localSheetId="6">#REF!</definedName>
    <definedName name="CUMPLIMIENTO_METAS" localSheetId="4">#REF!</definedName>
    <definedName name="CUMPLIMIENTO_METAS">#REF!</definedName>
    <definedName name="Datos_Nutricional" localSheetId="6">#REF!</definedName>
    <definedName name="Datos_Nutricional" localSheetId="4">#REF!</definedName>
    <definedName name="Datos_Nutricional">#REF!</definedName>
    <definedName name="EFICACIA_DEL_SGC" localSheetId="6">#REF!</definedName>
    <definedName name="EFICACIA_DEL_SGC" localSheetId="4">#REF!</definedName>
    <definedName name="EFICACIA_DEL_SGC">#REF!</definedName>
    <definedName name="Tabla_de_datos" localSheetId="6">'[1]Cubrimiento Cupos'!#REF!</definedName>
    <definedName name="Tabla_de_datos" localSheetId="4">'[1]Cubrimiento Cupos'!#REF!</definedName>
    <definedName name="Tabla_de_datos">'[1]Cubrimiento Cupos'!#REF!</definedName>
    <definedName name="Tabla_Logros" localSheetId="6">'[1]Logros alcanzados'!#REF!</definedName>
    <definedName name="Tabla_Logros" localSheetId="4">'[1]Logros alcanzados'!#REF!</definedName>
    <definedName name="Tabla_Logros">'[1]Logros alcanzados'!#REF!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12" l="1"/>
  <c r="E5" i="13" l="1"/>
  <c r="E4" i="13"/>
  <c r="D5" i="13"/>
  <c r="D4" i="13"/>
  <c r="D19" i="13"/>
  <c r="F29" i="13" l="1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F24" i="13"/>
  <c r="E24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4" i="13"/>
  <c r="F13" i="13"/>
  <c r="F12" i="13"/>
  <c r="E14" i="13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L48" i="12" l="1"/>
  <c r="I48" i="12"/>
  <c r="L39" i="12"/>
  <c r="I39" i="12"/>
  <c r="Y35" i="12"/>
  <c r="AD35" i="12" s="1"/>
  <c r="AA35" i="12"/>
  <c r="I33" i="12"/>
  <c r="I25" i="12"/>
  <c r="I24" i="12"/>
  <c r="AE35" i="12" l="1"/>
  <c r="Y19" i="12"/>
  <c r="AD19" i="12" s="1"/>
  <c r="AA19" i="12"/>
  <c r="E9" i="13"/>
  <c r="D9" i="13"/>
  <c r="E8" i="13"/>
  <c r="D8" i="13"/>
  <c r="F7" i="13"/>
  <c r="E7" i="13"/>
  <c r="D7" i="13"/>
  <c r="E6" i="13"/>
  <c r="D6" i="13"/>
  <c r="AE19" i="12" l="1"/>
  <c r="L21" i="12"/>
  <c r="I16" i="12"/>
  <c r="L9" i="12"/>
  <c r="F6" i="13" s="1"/>
  <c r="AB53" i="12"/>
  <c r="AC51" i="12"/>
  <c r="B49" i="12"/>
  <c r="AA47" i="12"/>
  <c r="Y47" i="12"/>
  <c r="AE47" i="12" s="1"/>
  <c r="AA46" i="12"/>
  <c r="Y46" i="12"/>
  <c r="AD46" i="12" s="1"/>
  <c r="B46" i="12"/>
  <c r="B47" i="12" s="1"/>
  <c r="B48" i="12" s="1"/>
  <c r="AA45" i="12"/>
  <c r="Y45" i="12"/>
  <c r="AE45" i="12" s="1"/>
  <c r="B45" i="12"/>
  <c r="AA43" i="12"/>
  <c r="Y43" i="12"/>
  <c r="AD43" i="12" s="1"/>
  <c r="AA42" i="12"/>
  <c r="Y42" i="12"/>
  <c r="AE42" i="12" s="1"/>
  <c r="AA41" i="12"/>
  <c r="Y41" i="12"/>
  <c r="AE41" i="12" s="1"/>
  <c r="AA40" i="12"/>
  <c r="Y40" i="12"/>
  <c r="AE40" i="12" s="1"/>
  <c r="AA39" i="12"/>
  <c r="Y39" i="12"/>
  <c r="AE39" i="12" s="1"/>
  <c r="AF38" i="12"/>
  <c r="AA38" i="12"/>
  <c r="Z38" i="12"/>
  <c r="Y38" i="12"/>
  <c r="AE38" i="12" s="1"/>
  <c r="AA37" i="12"/>
  <c r="Y37" i="12"/>
  <c r="AE37" i="12" s="1"/>
  <c r="AA36" i="12"/>
  <c r="Y36" i="12"/>
  <c r="AE36" i="12" s="1"/>
  <c r="AA34" i="12"/>
  <c r="Y34" i="12"/>
  <c r="AE34" i="12" s="1"/>
  <c r="AA33" i="12"/>
  <c r="Y33" i="12"/>
  <c r="AE33" i="12" s="1"/>
  <c r="B33" i="12"/>
  <c r="B34" i="12" s="1"/>
  <c r="AA32" i="12"/>
  <c r="Y32" i="12"/>
  <c r="AE32" i="12" s="1"/>
  <c r="AA31" i="12"/>
  <c r="Y31" i="12"/>
  <c r="AE31" i="12" s="1"/>
  <c r="AA30" i="12"/>
  <c r="Y30" i="12"/>
  <c r="AE30" i="12" s="1"/>
  <c r="AA29" i="12"/>
  <c r="Y29" i="12"/>
  <c r="AE29" i="12" s="1"/>
  <c r="AA27" i="12"/>
  <c r="Y27" i="12"/>
  <c r="AE27" i="12" s="1"/>
  <c r="AA26" i="12"/>
  <c r="Y26" i="12"/>
  <c r="AE26" i="12" s="1"/>
  <c r="B26" i="12"/>
  <c r="B27" i="12" s="1"/>
  <c r="B28" i="12" s="1"/>
  <c r="B29" i="12" s="1"/>
  <c r="B30" i="12" s="1"/>
  <c r="B31" i="12" s="1"/>
  <c r="B32" i="12" s="1"/>
  <c r="AA25" i="12"/>
  <c r="Y25" i="12"/>
  <c r="AE25" i="12" s="1"/>
  <c r="AA24" i="12"/>
  <c r="Y24" i="12"/>
  <c r="AE24" i="12" s="1"/>
  <c r="AA23" i="12"/>
  <c r="Y23" i="12"/>
  <c r="AE23" i="12" s="1"/>
  <c r="B23" i="12"/>
  <c r="B24" i="12" s="1"/>
  <c r="B25" i="12" s="1"/>
  <c r="AE22" i="12"/>
  <c r="AD22" i="12"/>
  <c r="AA20" i="12"/>
  <c r="Y20" i="12"/>
  <c r="AA18" i="12"/>
  <c r="Y18" i="12"/>
  <c r="AD18" i="12" s="1"/>
  <c r="AA17" i="12"/>
  <c r="Y17" i="12"/>
  <c r="AE17" i="12" s="1"/>
  <c r="AA16" i="12"/>
  <c r="Y16" i="12"/>
  <c r="AD16" i="12" s="1"/>
  <c r="AA14" i="12"/>
  <c r="Y14" i="12"/>
  <c r="AE14" i="12" s="1"/>
  <c r="AA13" i="12"/>
  <c r="Y13" i="12"/>
  <c r="AD13" i="12" s="1"/>
  <c r="AA12" i="12"/>
  <c r="Y12" i="12"/>
  <c r="AD12" i="12" s="1"/>
  <c r="AA11" i="12"/>
  <c r="Y11" i="12"/>
  <c r="AD11" i="12" s="1"/>
  <c r="AA10" i="12"/>
  <c r="Y10" i="12"/>
  <c r="AE10" i="12" s="1"/>
  <c r="AA9" i="12"/>
  <c r="Y9" i="12"/>
  <c r="AA8" i="12"/>
  <c r="Y8" i="12"/>
  <c r="B35" i="12" l="1"/>
  <c r="B36" i="12" s="1"/>
  <c r="B37" i="12" s="1"/>
  <c r="B38" i="12" s="1"/>
  <c r="B39" i="12" s="1"/>
  <c r="B40" i="12" s="1"/>
  <c r="B41" i="12" s="1"/>
  <c r="B42" i="12" s="1"/>
  <c r="B43" i="12" s="1"/>
  <c r="AD9" i="12"/>
  <c r="AE16" i="12"/>
  <c r="AE43" i="12"/>
  <c r="AD36" i="12"/>
  <c r="AE18" i="12"/>
  <c r="AE46" i="12"/>
  <c r="AE9" i="12"/>
  <c r="AD29" i="12"/>
  <c r="AD32" i="12"/>
  <c r="AD27" i="12"/>
  <c r="AD25" i="12"/>
  <c r="AD31" i="12"/>
  <c r="AD40" i="12"/>
  <c r="AE12" i="12"/>
  <c r="AC53" i="12"/>
  <c r="AD53" i="12" s="1"/>
  <c r="AD24" i="12"/>
  <c r="AD42" i="12"/>
  <c r="AD45" i="12"/>
  <c r="AE11" i="12"/>
  <c r="AE13" i="12"/>
  <c r="AD38" i="12"/>
  <c r="AD33" i="12"/>
  <c r="AD8" i="12"/>
  <c r="AD10" i="12"/>
  <c r="AD14" i="12"/>
  <c r="AD17" i="12"/>
  <c r="AD26" i="12"/>
  <c r="AD30" i="12"/>
  <c r="AD37" i="12"/>
  <c r="AD41" i="12"/>
  <c r="AE8" i="12"/>
  <c r="AD23" i="12"/>
  <c r="AD34" i="12"/>
  <c r="AD39" i="12"/>
  <c r="AD47" i="12"/>
  <c r="AE51" i="12" l="1"/>
  <c r="AD51" i="12"/>
  <c r="AL26" i="8"/>
  <c r="AM26" i="8" l="1"/>
  <c r="AM23" i="8"/>
  <c r="AM24" i="8" l="1"/>
  <c r="H33" i="8"/>
  <c r="H34" i="8" s="1"/>
  <c r="AE31" i="8"/>
  <c r="AE30" i="8"/>
  <c r="AF30" i="8" s="1"/>
  <c r="I33" i="8"/>
  <c r="AI26" i="8"/>
  <c r="Y21" i="8"/>
  <c r="AD21" i="8"/>
  <c r="AA21" i="8"/>
  <c r="AF23" i="8"/>
  <c r="AF8" i="8"/>
  <c r="AF24" i="8"/>
  <c r="AS20" i="8"/>
  <c r="AF6" i="8"/>
  <c r="AF9" i="8"/>
  <c r="AA11" i="8"/>
  <c r="Y11" i="8"/>
  <c r="AC19" i="11"/>
  <c r="AD17" i="11"/>
  <c r="AB16" i="11"/>
  <c r="Z16" i="11"/>
  <c r="AF16" i="11" s="1"/>
  <c r="AB15" i="11"/>
  <c r="Z15" i="11"/>
  <c r="AF15" i="11"/>
  <c r="AB14" i="11"/>
  <c r="Z14" i="11"/>
  <c r="AF14" i="11" s="1"/>
  <c r="AB13" i="11"/>
  <c r="Z13" i="11"/>
  <c r="AF13" i="11" s="1"/>
  <c r="AB12" i="11"/>
  <c r="Z12" i="11"/>
  <c r="AF12" i="11" s="1"/>
  <c r="AB11" i="11"/>
  <c r="Z11" i="11"/>
  <c r="AF11" i="11"/>
  <c r="AB10" i="11"/>
  <c r="Z10" i="11"/>
  <c r="AE10" i="11" s="1"/>
  <c r="AB9" i="11"/>
  <c r="Z9" i="11"/>
  <c r="AE9" i="11" s="1"/>
  <c r="AB8" i="11"/>
  <c r="Z8" i="11"/>
  <c r="AF8" i="11" s="1"/>
  <c r="B8" i="11"/>
  <c r="B9" i="11" s="1"/>
  <c r="B10" i="11" s="1"/>
  <c r="B11" i="11" s="1"/>
  <c r="B12" i="11" s="1"/>
  <c r="B13" i="11" s="1"/>
  <c r="B14" i="11" s="1"/>
  <c r="B15" i="11" s="1"/>
  <c r="B16" i="11" s="1"/>
  <c r="AE8" i="11"/>
  <c r="AE12" i="11"/>
  <c r="AA25" i="8"/>
  <c r="AA20" i="8"/>
  <c r="AA19" i="8"/>
  <c r="AA18" i="8"/>
  <c r="AA26" i="8"/>
  <c r="AA17" i="8"/>
  <c r="AA15" i="8"/>
  <c r="AA12" i="8"/>
  <c r="AA9" i="8"/>
  <c r="AA8" i="8"/>
  <c r="AA24" i="8"/>
  <c r="AA10" i="8"/>
  <c r="AA7" i="8"/>
  <c r="AA6" i="8"/>
  <c r="AA5" i="8"/>
  <c r="Y5" i="8"/>
  <c r="AD5" i="8"/>
  <c r="Y7" i="8"/>
  <c r="AD7" i="8" s="1"/>
  <c r="Y10" i="8"/>
  <c r="AD10" i="8" s="1"/>
  <c r="Y24" i="8"/>
  <c r="AD24" i="8" s="1"/>
  <c r="Y8" i="8"/>
  <c r="AD8" i="8" s="1"/>
  <c r="Y9" i="8"/>
  <c r="AD9" i="8" s="1"/>
  <c r="Y12" i="8"/>
  <c r="AD12" i="8" s="1"/>
  <c r="Y15" i="8"/>
  <c r="AD15" i="8" s="1"/>
  <c r="Y17" i="8"/>
  <c r="AD17" i="8" s="1"/>
  <c r="Y26" i="8"/>
  <c r="AD26" i="8" s="1"/>
  <c r="Y18" i="8"/>
  <c r="AD18" i="8" s="1"/>
  <c r="Y19" i="8"/>
  <c r="AD19" i="8" s="1"/>
  <c r="Y20" i="8"/>
  <c r="AD20" i="8" s="1"/>
  <c r="Y25" i="8"/>
  <c r="AD25" i="8" s="1"/>
  <c r="Y6" i="8"/>
  <c r="AD6" i="8" s="1"/>
  <c r="AB27" i="8"/>
  <c r="F39" i="9"/>
  <c r="F38" i="9"/>
  <c r="F37" i="9"/>
  <c r="F36" i="9"/>
  <c r="F35" i="9"/>
  <c r="F34" i="9"/>
  <c r="F33" i="9"/>
  <c r="F32" i="9"/>
  <c r="F31" i="9"/>
  <c r="F30" i="9"/>
  <c r="F29" i="9"/>
  <c r="F28" i="9"/>
  <c r="AE14" i="11"/>
  <c r="AE11" i="11"/>
  <c r="AE15" i="11"/>
  <c r="AF9" i="11" l="1"/>
  <c r="AF10" i="11"/>
  <c r="AE16" i="11"/>
  <c r="AF17" i="11"/>
  <c r="C39" i="9"/>
  <c r="AE33" i="8"/>
  <c r="AE34" i="8" s="1"/>
  <c r="AC27" i="8"/>
  <c r="D32" i="9" s="1"/>
  <c r="E32" i="9" s="1"/>
  <c r="D31" i="9"/>
  <c r="E31" i="9" s="1"/>
  <c r="G32" i="9" s="1"/>
  <c r="AE13" i="11"/>
  <c r="AE17" i="11" s="1"/>
  <c r="D39" i="9"/>
  <c r="D38" i="9"/>
  <c r="E38" i="9" s="1"/>
  <c r="AD19" i="11"/>
  <c r="AE19" i="11" s="1"/>
  <c r="AF31" i="8"/>
  <c r="D37" i="9"/>
  <c r="E37" i="9" s="1"/>
  <c r="D35" i="9"/>
  <c r="E35" i="9" s="1"/>
  <c r="AD27" i="8"/>
  <c r="E39" i="9" l="1"/>
  <c r="D34" i="9"/>
  <c r="E34" i="9" s="1"/>
  <c r="D36" i="9"/>
  <c r="E36" i="9" s="1"/>
  <c r="G36" i="9" s="1"/>
  <c r="D29" i="9"/>
  <c r="E29" i="9" s="1"/>
  <c r="D30" i="9"/>
  <c r="E30" i="9" s="1"/>
  <c r="G31" i="9" s="1"/>
  <c r="D28" i="9"/>
  <c r="E28" i="9" s="1"/>
  <c r="D33" i="9"/>
  <c r="E33" i="9" s="1"/>
  <c r="G33" i="9" s="1"/>
  <c r="G37" i="9"/>
  <c r="G39" i="9"/>
  <c r="G38" i="9"/>
  <c r="G35" i="9"/>
  <c r="G29" i="9" l="1"/>
  <c r="G34" i="9"/>
  <c r="E40" i="9"/>
  <c r="G30" i="9"/>
</calcChain>
</file>

<file path=xl/sharedStrings.xml><?xml version="1.0" encoding="utf-8"?>
<sst xmlns="http://schemas.openxmlformats.org/spreadsheetml/2006/main" count="748" uniqueCount="357">
  <si>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</si>
  <si>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</si>
  <si>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</si>
  <si>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</si>
  <si>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</si>
  <si>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</si>
  <si>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</si>
  <si>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</si>
  <si>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</si>
  <si>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</si>
  <si>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</si>
  <si>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</si>
  <si>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</si>
  <si>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</si>
  <si>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</si>
  <si>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</si>
  <si>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</si>
  <si>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</si>
  <si>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</si>
  <si>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</si>
  <si>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</si>
  <si>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</si>
  <si>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</si>
  <si>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</si>
  <si>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</si>
  <si>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</si>
  <si>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</si>
  <si>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</si>
  <si>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</si>
  <si>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</si>
  <si>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</si>
  <si>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</si>
  <si>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</si>
  <si>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</si>
  <si>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</si>
  <si>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</si>
  <si>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</si>
  <si>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</si>
  <si>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</si>
  <si>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</si>
  <si>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</si>
  <si>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</si>
  <si>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</si>
  <si>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</si>
  <si>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</si>
  <si>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</si>
  <si>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</si>
  <si>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</si>
  <si>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</si>
  <si>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</si>
  <si>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</si>
  <si>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</si>
  <si>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</si>
  <si>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</si>
  <si>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</si>
  <si>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</si>
  <si>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</si>
  <si>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</si>
  <si>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</si>
  <si>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</si>
  <si>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</si>
  <si>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</si>
  <si>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</si>
  <si>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</si>
  <si>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</si>
  <si>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</si>
  <si>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</si>
  <si>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</si>
  <si>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</si>
  <si>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</si>
  <si>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</si>
  <si>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</si>
  <si>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</si>
  <si>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</si>
  <si>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</si>
  <si>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</si>
  <si>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</si>
  <si>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</si>
  <si>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</si>
  <si>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</si>
  <si>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</si>
  <si>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</si>
  <si>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</si>
  <si>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</si>
  <si>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</si>
  <si>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</si>
  <si>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</si>
  <si>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</si>
  <si>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</si>
  <si>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</si>
  <si>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</si>
  <si>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</si>
  <si>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</si>
  <si>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</si>
  <si>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</si>
  <si>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</si>
  <si>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</si>
  <si>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</si>
  <si>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</si>
  <si>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</si>
  <si>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</si>
  <si>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</si>
  <si>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</si>
  <si>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</si>
  <si>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</si>
  <si>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</si>
  <si>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</si>
  <si>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</si>
  <si>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</si>
  <si>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</si>
  <si>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</si>
  <si>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</si>
  <si>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</si>
  <si>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</si>
  <si>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</si>
  <si>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</si>
  <si>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</si>
  <si>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</si>
  <si>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</si>
  <si>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</si>
  <si>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</si>
  <si>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</si>
  <si>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</si>
  <si>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</si>
  <si>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</si>
  <si>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</si>
  <si>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</si>
  <si>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</si>
  <si>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</si>
  <si>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</si>
  <si>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</si>
  <si>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</si>
  <si>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</si>
  <si>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</si>
  <si>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</si>
  <si>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</si>
  <si>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</si>
  <si>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</si>
  <si>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</si>
  <si>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</si>
  <si>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</si>
  <si>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</si>
  <si>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</si>
  <si>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</si>
  <si>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</si>
  <si>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</si>
  <si>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</si>
  <si>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</si>
  <si>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</si>
  <si>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</si>
  <si>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</si>
  <si>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Línea base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</si>
  <si>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</si>
  <si>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</si>
  <si>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</si>
  <si>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</si>
  <si>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</si>
  <si>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>Periodicidad</t>
  </si>
  <si>
    <t xml:space="preserve">Medir el porcentaje de programas acreditados </t>
  </si>
  <si>
    <t># Programas acreditados /  
# Programas acreditables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</si>
  <si>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</si>
  <si>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</si>
  <si>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</si>
  <si>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</si>
  <si>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</si>
  <si>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</si>
  <si>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</si>
  <si>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</si>
  <si>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Implementar  en 2018 un programa de  gestión  de transferencia del conocimiento  que provea a la ETITC   de  instrumentos para el uso, distribución y protección  del conocimiento</t>
  </si>
  <si>
    <t>Pagos</t>
  </si>
  <si>
    <t>Ingresos febrero</t>
  </si>
  <si>
    <t>Ingresos 2016</t>
  </si>
  <si>
    <t>Pagos 2016</t>
  </si>
  <si>
    <t>Medir la efectividad en el recaudo para el respaldo de los compromisos</t>
  </si>
  <si>
    <t>X</t>
  </si>
  <si>
    <t>Bimensual</t>
  </si>
  <si>
    <t>Resultado de la medición anterior en clima laboral / Resultado actual del clima laboral - 1</t>
  </si>
  <si>
    <t>Nivel de satisfacción actividades de Bienestar</t>
  </si>
  <si>
    <t>Sumatoria resultado encuestas de satisfacción actividades de bienestar/ Total estudiantes encuestados</t>
  </si>
  <si>
    <t># de programas de transferencia de conocimiento en ejecución/ # de programas de transferencia de conocimiento  planeados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</si>
  <si>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</si>
  <si>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</si>
  <si>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</si>
  <si>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</si>
  <si>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Última medición del observatorio laboral año 2014</t>
  </si>
  <si>
    <t>Línea base: Variación 2014 - 2015 sobre áreas comparables</t>
  </si>
  <si>
    <t>Permitir verificar el avance de las compras programadas al principo de la vigencia para priorizar gastos</t>
  </si>
  <si>
    <t>Valor plan compras ejecutado / Valor compras  programado</t>
  </si>
  <si>
    <t>≥ 90%</t>
  </si>
  <si>
    <t>≥ 90,00%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</si>
  <si>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</si>
  <si>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</si>
  <si>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</si>
  <si>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</si>
  <si>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≥ 88,50%</t>
  </si>
  <si>
    <t>Mejorar la calidad de vida de la comunidad universitaria, mediante la planeación y ejecución de proyectos, programas y actividades que fortalezcan las condiciones de bienestar</t>
  </si>
  <si>
    <t>Objetivo Estratégico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</si>
  <si>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</si>
  <si>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</si>
  <si>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</si>
  <si>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</si>
  <si>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</si>
  <si>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</si>
  <si>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</si>
  <si>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</si>
  <si>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</si>
  <si>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</si>
  <si>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</si>
  <si>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</si>
  <si>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</si>
  <si>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Direccionamiento Estratégico</t>
  </si>
  <si>
    <t>Garantizar la participación de los docentes en comunidades académicas para la construcción, transferencia y socialización del conocimiento</t>
  </si>
  <si>
    <t>TABLERO INDICADORES 2017</t>
  </si>
  <si>
    <t>Mejorar el desempeño común de los estudiantes  (a mayor disminución, mejor desempeño)</t>
  </si>
  <si>
    <t>Medición Febrero</t>
  </si>
  <si>
    <t>feb</t>
  </si>
  <si>
    <t>mar</t>
  </si>
  <si>
    <t>Recaudo</t>
  </si>
  <si>
    <t>Compromiso</t>
  </si>
  <si>
    <t>Diferencia</t>
  </si>
  <si>
    <t>No se ha relizado el plan de Talleres y Laboratorios</t>
  </si>
  <si>
    <t>Se recaudaron $160 millones de convenio con la UAESP</t>
  </si>
  <si>
    <t>Se realizará la primera medición en el primer semestre del año, ya que se realizó cambio en la herramienta de medición por parte del DAFP</t>
  </si>
  <si>
    <t>La línea base corresponde al valor medido hace dos años. En la presente vigencia debe realizarse la medición</t>
  </si>
  <si>
    <t>.</t>
  </si>
  <si>
    <t>Dato más reciente medición: Abril 2017</t>
  </si>
  <si>
    <t>Dato más reciente medición: Marzo - Abril 2017</t>
  </si>
  <si>
    <t>Movilidad internacional (1) 
Cantidad: 1 Docente, Destino: México
Movilidad nacional (2)
Cantidad: 1 Decano, 1 estudiante, Destino: Medellín</t>
  </si>
  <si>
    <t xml:space="preserve">Se recauda en el mes de abril $8.050.261.391 y se compromete $8.128.583.746, se tiene </t>
  </si>
  <si>
    <t>Febrero</t>
  </si>
  <si>
    <t>Marzo</t>
  </si>
  <si>
    <t>Abril</t>
  </si>
  <si>
    <t>Línea Base</t>
  </si>
  <si>
    <t>ABRIL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</si>
  <si>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</si>
  <si>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</si>
  <si>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</si>
  <si>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</si>
  <si>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</si>
  <si>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</si>
  <si>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</si>
  <si>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</si>
  <si>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</si>
  <si>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</si>
  <si>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</si>
  <si>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</si>
  <si>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</si>
  <si>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</si>
  <si>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</si>
  <si>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# egresados vinculados a actividades de la ETITIC/ # egresados totales *100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</si>
  <si>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</si>
  <si>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</si>
  <si>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</si>
  <si>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</si>
  <si>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</si>
  <si>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</si>
  <si>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</si>
  <si>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</si>
  <si>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</si>
  <si>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</si>
  <si>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</si>
  <si>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</si>
  <si>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</si>
  <si>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</si>
  <si>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</si>
  <si>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</si>
  <si>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</si>
  <si>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</si>
  <si>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</si>
  <si>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# Proyectos  de apoyo a las actividad  en ejecución/ # de proyectos de apoyo a las actividad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</si>
  <si>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</si>
  <si>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</si>
  <si>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</si>
  <si>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</si>
  <si>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</si>
  <si>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</si>
  <si>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</si>
  <si>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</si>
  <si>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</si>
  <si>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</si>
  <si>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</si>
  <si>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</si>
  <si>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</si>
  <si>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>Realizar el seguimiento a las hojas de vida registradas en el Sigep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</si>
  <si>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</si>
  <si>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</si>
  <si>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</si>
  <si>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</si>
  <si>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</si>
  <si>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</si>
  <si>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</si>
  <si>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</si>
  <si>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</si>
  <si>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</si>
  <si>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</si>
  <si>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</si>
  <si>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</si>
  <si>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</si>
  <si>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</si>
  <si>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</si>
  <si>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</si>
  <si>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</si>
  <si>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</si>
  <si>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</si>
  <si>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</si>
  <si>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</si>
  <si>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</si>
  <si>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</si>
  <si>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</si>
  <si>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</si>
  <si>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</si>
  <si>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</si>
  <si>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</si>
  <si>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</si>
  <si>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</si>
  <si>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</si>
  <si>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</si>
  <si>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</si>
  <si>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</si>
  <si>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</si>
  <si>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</si>
  <si>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</si>
  <si>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</si>
  <si>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</si>
  <si>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</si>
  <si>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</si>
  <si>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</si>
  <si>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</si>
  <si>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</si>
  <si>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</si>
  <si>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</si>
  <si>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</si>
  <si>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OBJETIVO</t>
  </si>
  <si>
    <t>LÍNEA BASE</t>
  </si>
  <si>
    <t>Ejecición de convenios y redes nacionales e internacionales</t>
  </si>
  <si>
    <t>Promedio porcentaje de avance del seguimiento de convenios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</si>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</sst>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_-* #,##0_-;\-* #,##0_-;_-* &quot;-&quot;??_-;_-@_-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Lucida Sans"/>
      <family val="2"/>
    </font>
    <font>
      <b/>
      <sz val="9.9"/>
      <color theme="1"/>
      <name val="RobotoLight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8" borderId="18" xfId="0" applyFont="1" applyFill="1" applyBorder="1"/>
    <xf numFmtId="0" fontId="22" fillId="8" borderId="7" xfId="0" applyFont="1" applyFill="1" applyBorder="1"/>
    <xf numFmtId="0" fontId="0" fillId="0" borderId="0" xfId="0" applyFont="1"/>
    <xf numFmtId="165" fontId="0" fillId="0" borderId="0" xfId="0" applyNumberFormat="1" applyFont="1" applyAlignment="1">
      <alignment vertical="center" wrapText="1"/>
    </xf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0" fillId="0" borderId="18" xfId="0" applyFont="1" applyBorder="1"/>
    <xf numFmtId="9" fontId="0" fillId="0" borderId="0" xfId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vertical="center" wrapText="1"/>
    </xf>
    <xf numFmtId="0" fontId="0" fillId="8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5" fontId="0" fillId="2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5" fontId="0" fillId="3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vertical="center" wrapText="1"/>
    </xf>
    <xf numFmtId="167" fontId="0" fillId="0" borderId="0" xfId="39" applyNumberFormat="1" applyFont="1"/>
    <xf numFmtId="0" fontId="0" fillId="0" borderId="10" xfId="0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167" fontId="0" fillId="0" borderId="0" xfId="0" applyNumberFormat="1" applyFont="1"/>
    <xf numFmtId="165" fontId="2" fillId="0" borderId="16" xfId="0" applyNumberFormat="1" applyFont="1" applyBorder="1" applyAlignment="1">
      <alignment vertical="center" wrapText="1"/>
    </xf>
    <xf numFmtId="165" fontId="0" fillId="0" borderId="16" xfId="0" applyNumberFormat="1" applyFont="1" applyBorder="1" applyAlignment="1">
      <alignment vertical="center" wrapText="1"/>
    </xf>
    <xf numFmtId="10" fontId="0" fillId="0" borderId="17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/>
    <xf numFmtId="0" fontId="22" fillId="0" borderId="10" xfId="0" applyFont="1" applyFill="1" applyBorder="1" applyAlignment="1">
      <alignment vertical="center" wrapText="1"/>
    </xf>
    <xf numFmtId="165" fontId="2" fillId="0" borderId="56" xfId="0" applyNumberFormat="1" applyFont="1" applyBorder="1" applyAlignment="1">
      <alignment vertical="center" wrapText="1"/>
    </xf>
    <xf numFmtId="10" fontId="0" fillId="0" borderId="4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17" fontId="23" fillId="5" borderId="61" xfId="2" applyNumberFormat="1" applyFont="1" applyFill="1" applyBorder="1" applyAlignment="1">
      <alignment horizontal="center" vertical="center" wrapText="1"/>
    </xf>
    <xf numFmtId="165" fontId="3" fillId="5" borderId="61" xfId="0" applyNumberFormat="1" applyFont="1" applyFill="1" applyBorder="1" applyAlignment="1">
      <alignment horizontal="center" vertical="center" wrapText="1"/>
    </xf>
    <xf numFmtId="165" fontId="3" fillId="5" borderId="62" xfId="0" applyNumberFormat="1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2" fillId="8" borderId="18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5" fillId="0" borderId="60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vertical="center" wrapText="1"/>
    </xf>
    <xf numFmtId="9" fontId="3" fillId="0" borderId="61" xfId="0" applyNumberFormat="1" applyFont="1" applyFill="1" applyBorder="1" applyAlignment="1">
      <alignment horizontal="center" vertical="center" wrapText="1"/>
    </xf>
    <xf numFmtId="9" fontId="0" fillId="0" borderId="61" xfId="0" applyNumberFormat="1" applyFont="1" applyFill="1" applyBorder="1" applyAlignment="1">
      <alignment horizontal="center" vertical="center" wrapText="1"/>
    </xf>
    <xf numFmtId="9" fontId="0" fillId="0" borderId="61" xfId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6" fontId="0" fillId="0" borderId="61" xfId="0" applyNumberFormat="1" applyFont="1" applyFill="1" applyBorder="1" applyAlignment="1">
      <alignment vertical="center" wrapText="1"/>
    </xf>
    <xf numFmtId="165" fontId="0" fillId="0" borderId="62" xfId="0" applyNumberFormat="1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25" fillId="0" borderId="52" xfId="0" applyFont="1" applyBorder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0" fillId="0" borderId="63" xfId="0" applyFont="1" applyBorder="1"/>
    <xf numFmtId="0" fontId="0" fillId="0" borderId="38" xfId="0" applyFont="1" applyBorder="1"/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5" fontId="0" fillId="0" borderId="56" xfId="0" applyNumberFormat="1" applyFont="1" applyBorder="1" applyAlignment="1">
      <alignment vertical="center" wrapText="1"/>
    </xf>
    <xf numFmtId="10" fontId="0" fillId="0" borderId="52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64" xfId="0" applyFont="1" applyBorder="1"/>
    <xf numFmtId="0" fontId="0" fillId="0" borderId="13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9" fontId="0" fillId="0" borderId="13" xfId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vertical="center" wrapText="1"/>
    </xf>
    <xf numFmtId="165" fontId="0" fillId="0" borderId="64" xfId="0" applyNumberFormat="1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/>
    </xf>
    <xf numFmtId="0" fontId="22" fillId="0" borderId="13" xfId="0" applyFont="1" applyBorder="1"/>
    <xf numFmtId="10" fontId="0" fillId="0" borderId="54" xfId="1" applyNumberFormat="1" applyFont="1" applyBorder="1" applyAlignment="1">
      <alignment horizontal="center" vertical="center"/>
    </xf>
    <xf numFmtId="0" fontId="0" fillId="0" borderId="52" xfId="0" applyFont="1" applyBorder="1"/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horizontal="left"/>
    </xf>
    <xf numFmtId="0" fontId="22" fillId="8" borderId="10" xfId="0" applyFont="1" applyFill="1" applyBorder="1" applyAlignment="1">
      <alignment horizontal="left"/>
    </xf>
    <xf numFmtId="0" fontId="0" fillId="8" borderId="52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0" fillId="0" borderId="39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0" fontId="0" fillId="0" borderId="41" xfId="0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0" fontId="0" fillId="0" borderId="37" xfId="0" applyFont="1" applyBorder="1"/>
    <xf numFmtId="0" fontId="0" fillId="0" borderId="3" xfId="0" applyFont="1" applyBorder="1" applyAlignment="1">
      <alignment horizontal="center" vertical="center"/>
    </xf>
    <xf numFmtId="165" fontId="3" fillId="5" borderId="33" xfId="0" applyNumberFormat="1" applyFont="1" applyFill="1" applyBorder="1" applyAlignment="1">
      <alignment horizontal="center" vertical="center" wrapText="1"/>
    </xf>
    <xf numFmtId="10" fontId="0" fillId="0" borderId="40" xfId="1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0" fontId="0" fillId="0" borderId="8" xfId="1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5" fillId="0" borderId="69" xfId="0" applyFont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vertical="center" wrapText="1"/>
    </xf>
    <xf numFmtId="165" fontId="0" fillId="0" borderId="35" xfId="0" applyNumberFormat="1" applyFont="1" applyFill="1" applyBorder="1" applyAlignment="1">
      <alignment horizontal="center" vertical="center" wrapText="1"/>
    </xf>
    <xf numFmtId="10" fontId="0" fillId="0" borderId="36" xfId="1" applyNumberFormat="1" applyFont="1" applyFill="1" applyBorder="1" applyAlignment="1">
      <alignment horizontal="center" vertical="center" wrapText="1"/>
    </xf>
    <xf numFmtId="10" fontId="0" fillId="0" borderId="37" xfId="1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10" fontId="0" fillId="0" borderId="43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" fontId="0" fillId="0" borderId="73" xfId="1" applyNumberFormat="1" applyFont="1" applyBorder="1" applyAlignment="1">
      <alignment horizontal="center" vertical="center" wrapText="1"/>
    </xf>
    <xf numFmtId="9" fontId="0" fillId="0" borderId="46" xfId="1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0" xfId="0" applyFont="1" applyBorder="1"/>
    <xf numFmtId="0" fontId="0" fillId="0" borderId="62" xfId="0" applyFont="1" applyBorder="1"/>
    <xf numFmtId="0" fontId="25" fillId="0" borderId="62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vertical="center" wrapText="1"/>
    </xf>
    <xf numFmtId="164" fontId="0" fillId="0" borderId="0" xfId="41" applyFont="1"/>
    <xf numFmtId="164" fontId="0" fillId="0" borderId="0" xfId="41" applyFont="1" applyAlignment="1">
      <alignment vertical="center" wrapText="1"/>
    </xf>
    <xf numFmtId="164" fontId="0" fillId="0" borderId="0" xfId="0" applyNumberFormat="1" applyFont="1"/>
    <xf numFmtId="164" fontId="0" fillId="0" borderId="0" xfId="1" applyNumberFormat="1" applyFont="1"/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9" fontId="0" fillId="0" borderId="0" xfId="1" applyFont="1"/>
    <xf numFmtId="10" fontId="0" fillId="0" borderId="9" xfId="0" applyNumberFormat="1" applyFont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10" fontId="0" fillId="0" borderId="50" xfId="1" applyNumberFormat="1" applyFont="1" applyBorder="1" applyAlignment="1">
      <alignment horizontal="center" vertical="center"/>
    </xf>
    <xf numFmtId="0" fontId="0" fillId="0" borderId="49" xfId="0" applyFont="1" applyBorder="1"/>
    <xf numFmtId="0" fontId="0" fillId="0" borderId="17" xfId="0" applyFont="1" applyBorder="1"/>
    <xf numFmtId="2" fontId="0" fillId="0" borderId="56" xfId="0" applyNumberFormat="1" applyFont="1" applyFill="1" applyBorder="1" applyAlignment="1">
      <alignment horizontal="center" vertical="center"/>
    </xf>
    <xf numFmtId="10" fontId="0" fillId="0" borderId="50" xfId="0" applyNumberFormat="1" applyFont="1" applyBorder="1" applyAlignment="1">
      <alignment horizontal="center" vertical="center"/>
    </xf>
    <xf numFmtId="10" fontId="0" fillId="0" borderId="64" xfId="1" applyNumberFormat="1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10" fontId="0" fillId="0" borderId="43" xfId="1" applyNumberFormat="1" applyFont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0" fillId="0" borderId="57" xfId="0" applyFont="1" applyBorder="1"/>
    <xf numFmtId="10" fontId="0" fillId="0" borderId="12" xfId="0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168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168" fontId="0" fillId="0" borderId="4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vertical="center"/>
    </xf>
    <xf numFmtId="0" fontId="0" fillId="8" borderId="33" xfId="0" applyFont="1" applyFill="1" applyBorder="1" applyAlignment="1">
      <alignment horizontal="left" vertical="center" wrapText="1"/>
    </xf>
    <xf numFmtId="0" fontId="0" fillId="8" borderId="45" xfId="0" applyFont="1" applyFill="1" applyBorder="1" applyAlignment="1">
      <alignment vertical="center" wrapText="1"/>
    </xf>
    <xf numFmtId="0" fontId="0" fillId="8" borderId="72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horizontal="center" vertical="center" wrapText="1"/>
    </xf>
    <xf numFmtId="9" fontId="24" fillId="8" borderId="47" xfId="0" applyNumberFormat="1" applyFont="1" applyFill="1" applyBorder="1" applyAlignment="1">
      <alignment horizontal="center" vertical="center" wrapText="1"/>
    </xf>
    <xf numFmtId="9" fontId="2" fillId="8" borderId="47" xfId="0" applyNumberFormat="1" applyFont="1" applyFill="1" applyBorder="1" applyAlignment="1">
      <alignment horizontal="center" vertical="center" wrapText="1"/>
    </xf>
    <xf numFmtId="9" fontId="2" fillId="8" borderId="47" xfId="1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vertical="center" wrapText="1"/>
    </xf>
    <xf numFmtId="0" fontId="2" fillId="8" borderId="47" xfId="0" applyFont="1" applyFill="1" applyBorder="1" applyAlignment="1">
      <alignment horizontal="center" vertical="center" wrapText="1"/>
    </xf>
    <xf numFmtId="166" fontId="2" fillId="8" borderId="47" xfId="0" applyNumberFormat="1" applyFont="1" applyFill="1" applyBorder="1" applyAlignment="1">
      <alignment vertical="center" wrapText="1"/>
    </xf>
    <xf numFmtId="165" fontId="2" fillId="8" borderId="19" xfId="0" applyNumberFormat="1" applyFont="1" applyFill="1" applyBorder="1" applyAlignment="1">
      <alignment vertical="center" wrapText="1"/>
    </xf>
    <xf numFmtId="165" fontId="0" fillId="8" borderId="24" xfId="0" applyNumberFormat="1" applyFont="1" applyFill="1" applyBorder="1" applyAlignment="1">
      <alignment horizontal="center" vertical="center" wrapText="1"/>
    </xf>
    <xf numFmtId="10" fontId="0" fillId="8" borderId="31" xfId="1" applyNumberFormat="1" applyFont="1" applyFill="1" applyBorder="1" applyAlignment="1">
      <alignment horizontal="center" vertical="center" wrapText="1"/>
    </xf>
    <xf numFmtId="10" fontId="0" fillId="8" borderId="71" xfId="0" applyNumberFormat="1" applyFont="1" applyFill="1" applyBorder="1" applyAlignment="1">
      <alignment horizontal="center" vertical="center"/>
    </xf>
    <xf numFmtId="10" fontId="0" fillId="8" borderId="0" xfId="0" applyNumberFormat="1" applyFont="1" applyFill="1" applyBorder="1" applyAlignment="1">
      <alignment horizontal="center" vertical="center"/>
    </xf>
    <xf numFmtId="10" fontId="0" fillId="8" borderId="19" xfId="0" applyNumberFormat="1" applyFont="1" applyFill="1" applyBorder="1" applyAlignment="1">
      <alignment horizontal="center" vertical="center"/>
    </xf>
    <xf numFmtId="10" fontId="0" fillId="8" borderId="24" xfId="0" applyNumberFormat="1" applyFont="1" applyFill="1" applyBorder="1" applyAlignment="1">
      <alignment horizontal="center" vertical="center"/>
    </xf>
    <xf numFmtId="0" fontId="0" fillId="8" borderId="0" xfId="0" applyFont="1" applyFill="1"/>
    <xf numFmtId="0" fontId="0" fillId="8" borderId="0" xfId="0" applyFont="1" applyFill="1" applyAlignment="1">
      <alignment vertical="center" wrapText="1"/>
    </xf>
    <xf numFmtId="0" fontId="0" fillId="8" borderId="0" xfId="0" applyFont="1" applyFill="1" applyBorder="1"/>
    <xf numFmtId="0" fontId="0" fillId="8" borderId="0" xfId="0" applyFont="1" applyFill="1" applyBorder="1" applyAlignment="1">
      <alignment vertical="center" wrapText="1"/>
    </xf>
    <xf numFmtId="10" fontId="0" fillId="0" borderId="57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3" fontId="0" fillId="0" borderId="0" xfId="0" applyNumberFormat="1" applyFont="1"/>
    <xf numFmtId="3" fontId="0" fillId="0" borderId="0" xfId="0" applyNumberFormat="1" applyFont="1" applyFill="1" applyBorder="1"/>
    <xf numFmtId="0" fontId="0" fillId="0" borderId="1" xfId="0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10" fontId="0" fillId="0" borderId="42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10" fontId="0" fillId="0" borderId="3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42" xfId="1" applyNumberFormat="1" applyFont="1" applyBorder="1" applyAlignment="1">
      <alignment horizontal="center" vertical="center"/>
    </xf>
    <xf numFmtId="0" fontId="0" fillId="0" borderId="39" xfId="0" applyFont="1" applyBorder="1"/>
    <xf numFmtId="0" fontId="0" fillId="0" borderId="35" xfId="0" applyFont="1" applyBorder="1"/>
    <xf numFmtId="10" fontId="0" fillId="0" borderId="11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26" xfId="1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0" fontId="0" fillId="8" borderId="57" xfId="0" applyNumberFormat="1" applyFont="1" applyFill="1" applyBorder="1" applyAlignment="1">
      <alignment horizontal="center" vertical="center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10" fontId="0" fillId="0" borderId="57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left" vertical="center"/>
    </xf>
    <xf numFmtId="9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/>
    <xf numFmtId="2" fontId="0" fillId="0" borderId="5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2" fillId="0" borderId="52" xfId="0" applyFont="1" applyBorder="1"/>
    <xf numFmtId="0" fontId="22" fillId="0" borderId="56" xfId="0" applyFont="1" applyBorder="1"/>
    <xf numFmtId="0" fontId="14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2" fillId="0" borderId="18" xfId="0" applyFont="1" applyBorder="1"/>
    <xf numFmtId="0" fontId="22" fillId="0" borderId="16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0" fillId="0" borderId="52" xfId="0" applyBorder="1"/>
    <xf numFmtId="0" fontId="0" fillId="0" borderId="56" xfId="0" applyBorder="1"/>
    <xf numFmtId="0" fontId="14" fillId="0" borderId="0" xfId="0" applyFont="1" applyBorder="1" applyAlignment="1">
      <alignment horizontal="center" vertical="center"/>
    </xf>
    <xf numFmtId="0" fontId="7" fillId="8" borderId="7" xfId="0" applyFont="1" applyFill="1" applyBorder="1" applyAlignment="1">
      <alignment vertical="center" wrapText="1"/>
    </xf>
    <xf numFmtId="0" fontId="0" fillId="0" borderId="16" xfId="0" applyBorder="1"/>
    <xf numFmtId="0" fontId="28" fillId="8" borderId="7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0" fillId="0" borderId="20" xfId="0" applyBorder="1"/>
    <xf numFmtId="0" fontId="14" fillId="0" borderId="28" xfId="0" applyFont="1" applyBorder="1" applyAlignment="1">
      <alignment horizontal="center" vertical="center"/>
    </xf>
    <xf numFmtId="0" fontId="0" fillId="0" borderId="64" xfId="0" applyBorder="1"/>
    <xf numFmtId="0" fontId="14" fillId="0" borderId="44" xfId="0" applyFont="1" applyBorder="1" applyAlignment="1">
      <alignment horizontal="center" vertical="center" wrapText="1"/>
    </xf>
    <xf numFmtId="0" fontId="28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28" fillId="0" borderId="7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8" fillId="0" borderId="56" xfId="0" applyFont="1" applyBorder="1" applyAlignment="1">
      <alignment vertical="center" wrapText="1"/>
    </xf>
    <xf numFmtId="0" fontId="0" fillId="0" borderId="76" xfId="0" applyBorder="1"/>
    <xf numFmtId="0" fontId="28" fillId="0" borderId="64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0" fillId="0" borderId="54" xfId="0" applyBorder="1"/>
    <xf numFmtId="0" fontId="14" fillId="0" borderId="6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49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vertical="center" wrapText="1"/>
    </xf>
    <xf numFmtId="0" fontId="22" fillId="0" borderId="15" xfId="0" applyFont="1" applyBorder="1"/>
    <xf numFmtId="0" fontId="7" fillId="0" borderId="15" xfId="0" applyFont="1" applyBorder="1" applyAlignment="1">
      <alignment vertical="center" wrapText="1"/>
    </xf>
    <xf numFmtId="0" fontId="13" fillId="0" borderId="5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0" fontId="0" fillId="0" borderId="61" xfId="0" applyBorder="1"/>
    <xf numFmtId="0" fontId="14" fillId="0" borderId="54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3" fontId="7" fillId="0" borderId="52" xfId="0" applyNumberFormat="1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12" fontId="0" fillId="0" borderId="0" xfId="0" applyNumberFormat="1"/>
    <xf numFmtId="9" fontId="28" fillId="0" borderId="7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65" fontId="28" fillId="0" borderId="13" xfId="0" applyNumberFormat="1" applyFont="1" applyBorder="1" applyAlignment="1">
      <alignment horizontal="center" vertical="center" wrapText="1"/>
    </xf>
    <xf numFmtId="10" fontId="28" fillId="0" borderId="52" xfId="0" applyNumberFormat="1" applyFont="1" applyBorder="1" applyAlignment="1">
      <alignment horizontal="center" vertical="center" wrapText="1"/>
    </xf>
    <xf numFmtId="9" fontId="7" fillId="0" borderId="52" xfId="0" applyNumberFormat="1" applyFont="1" applyBorder="1" applyAlignment="1">
      <alignment horizontal="center" vertical="center" wrapText="1"/>
    </xf>
    <xf numFmtId="2" fontId="28" fillId="0" borderId="54" xfId="0" applyNumberFormat="1" applyFont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77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77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7" fillId="8" borderId="18" xfId="0" applyNumberFormat="1" applyFont="1" applyFill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28" fillId="0" borderId="54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left" vertical="center" wrapText="1"/>
    </xf>
    <xf numFmtId="9" fontId="28" fillId="0" borderId="21" xfId="0" applyNumberFormat="1" applyFont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0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/>
    <xf numFmtId="0" fontId="8" fillId="0" borderId="10" xfId="1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61" xfId="0" applyNumberFormat="1" applyFont="1" applyFill="1" applyBorder="1" applyAlignment="1">
      <alignment horizontal="center" vertical="center" wrapText="1"/>
    </xf>
    <xf numFmtId="0" fontId="23" fillId="0" borderId="0" xfId="0" applyFont="1"/>
    <xf numFmtId="166" fontId="7" fillId="0" borderId="10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9" fontId="7" fillId="0" borderId="7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left" vertical="center" wrapText="1"/>
    </xf>
    <xf numFmtId="9" fontId="7" fillId="0" borderId="13" xfId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166" fontId="7" fillId="0" borderId="7" xfId="0" applyNumberFormat="1" applyFont="1" applyFill="1" applyBorder="1" applyAlignment="1">
      <alignment vertical="center" wrapText="1"/>
    </xf>
    <xf numFmtId="0" fontId="7" fillId="7" borderId="15" xfId="0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9" fontId="7" fillId="0" borderId="15" xfId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vertical="center" wrapText="1"/>
    </xf>
    <xf numFmtId="165" fontId="7" fillId="0" borderId="15" xfId="0" applyNumberFormat="1" applyFont="1" applyBorder="1" applyAlignment="1">
      <alignment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9" fontId="7" fillId="0" borderId="61" xfId="0" applyNumberFormat="1" applyFont="1" applyFill="1" applyBorder="1" applyAlignment="1">
      <alignment horizontal="center" vertical="center" wrapText="1"/>
    </xf>
    <xf numFmtId="9" fontId="7" fillId="0" borderId="61" xfId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1" xfId="0" applyFont="1" applyBorder="1" applyAlignment="1">
      <alignment horizontal="center" vertical="center" wrapText="1"/>
    </xf>
    <xf numFmtId="166" fontId="7" fillId="0" borderId="61" xfId="0" applyNumberFormat="1" applyFont="1" applyFill="1" applyBorder="1" applyAlignment="1">
      <alignment vertical="center" wrapText="1"/>
    </xf>
    <xf numFmtId="165" fontId="7" fillId="0" borderId="61" xfId="0" applyNumberFormat="1" applyFont="1" applyBorder="1" applyAlignment="1">
      <alignment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0" fontId="7" fillId="8" borderId="5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9" fontId="8" fillId="0" borderId="48" xfId="0" applyNumberFormat="1" applyFont="1" applyFill="1" applyBorder="1" applyAlignment="1">
      <alignment horizontal="center" vertical="center" wrapText="1"/>
    </xf>
    <xf numFmtId="9" fontId="7" fillId="0" borderId="48" xfId="0" applyNumberFormat="1" applyFont="1" applyFill="1" applyBorder="1" applyAlignment="1">
      <alignment horizontal="center" vertical="center" wrapText="1"/>
    </xf>
    <xf numFmtId="9" fontId="7" fillId="0" borderId="48" xfId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166" fontId="7" fillId="0" borderId="48" xfId="0" applyNumberFormat="1" applyFont="1" applyFill="1" applyBorder="1" applyAlignment="1">
      <alignment vertical="center" wrapText="1"/>
    </xf>
    <xf numFmtId="165" fontId="7" fillId="0" borderId="48" xfId="0" applyNumberFormat="1" applyFont="1" applyBorder="1" applyAlignment="1">
      <alignment vertical="center" wrapText="1"/>
    </xf>
    <xf numFmtId="1" fontId="7" fillId="0" borderId="48" xfId="0" applyNumberFormat="1" applyFont="1" applyBorder="1" applyAlignment="1">
      <alignment horizontal="center" vertical="center" wrapText="1"/>
    </xf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17" fontId="8" fillId="5" borderId="61" xfId="2" applyNumberFormat="1" applyFont="1" applyFill="1" applyBorder="1" applyAlignment="1">
      <alignment horizontal="center" vertical="center" wrapText="1"/>
    </xf>
    <xf numFmtId="165" fontId="3" fillId="5" borderId="77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" fontId="14" fillId="0" borderId="11" xfId="0" applyNumberFormat="1" applyFon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10" fontId="29" fillId="0" borderId="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76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14" fillId="0" borderId="77" xfId="0" applyNumberFormat="1" applyFont="1" applyBorder="1" applyAlignment="1">
      <alignment horizontal="center" vertical="center" wrapText="1"/>
    </xf>
    <xf numFmtId="1" fontId="14" fillId="0" borderId="7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0" fontId="0" fillId="0" borderId="38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10" fontId="0" fillId="0" borderId="39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center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/>
    </xf>
    <xf numFmtId="0" fontId="26" fillId="9" borderId="34" xfId="0" applyFont="1" applyFill="1" applyBorder="1" applyAlignment="1">
      <alignment horizontal="center" vertical="center"/>
    </xf>
    <xf numFmtId="0" fontId="26" fillId="9" borderId="30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5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10" fontId="0" fillId="0" borderId="9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left" vertical="center"/>
    </xf>
    <xf numFmtId="10" fontId="0" fillId="0" borderId="40" xfId="1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 wrapText="1"/>
    </xf>
    <xf numFmtId="165" fontId="0" fillId="0" borderId="4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57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42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2" xfId="40"/>
    <cellStyle name="Moneda" xfId="41" builtinId="4"/>
    <cellStyle name="Normal" xfId="0" builtinId="0"/>
    <cellStyle name="Normal 2" xfId="2"/>
    <cellStyle name="Porcentaje" xfId="1" builtinId="5"/>
    <cellStyle name="Porcentual 2" xfId="3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21936"/>
        <c:axId val="387922496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21936"/>
        <c:axId val="387922496"/>
      </c:lineChart>
      <c:dateAx>
        <c:axId val="38792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2496"/>
        <c:crosses val="autoZero"/>
        <c:auto val="1"/>
        <c:lblOffset val="100"/>
        <c:baseTimeUnit val="months"/>
      </c:dateAx>
      <c:valAx>
        <c:axId val="3879224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2109107</xdr:colOff>
      <xdr:row>0</xdr:row>
      <xdr:rowOff>81643</xdr:rowOff>
    </xdr:from>
    <xdr:to>
      <xdr:col>1</xdr:col>
      <xdr:colOff>801461</xdr:colOff>
      <xdr:row>1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7" y="8164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729951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esktop\TRABAJO\INDICADORES\Marzo\Seguimiento%20tablero%20indicadores%20Marzo%20versi&#243;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Estratégico"/>
      <sheetName val="Tablero Maestro (2)"/>
      <sheetName val="Hoja1"/>
      <sheetName val="DE"/>
    </sheetNames>
    <sheetDataSet>
      <sheetData sheetId="0">
        <row r="26">
          <cell r="AK26">
            <v>0.47601476014760147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"/>
  <sheetViews>
    <sheetView tabSelected="1" zoomScale="90" zoomScaleNormal="90" zoomScalePageLayoutView="130" workbookViewId="0">
      <pane xSplit="8" ySplit="4" topLeftCell="AK5" activePane="bottomRight" state="frozen"/>
      <selection pane="topRight" activeCell="I1" sqref="I1"/>
      <selection pane="bottomLeft" activeCell="A5" sqref="A5"/>
      <selection pane="bottomRight" sqref="A1:AN2"/>
    </sheetView>
  </sheetViews>
  <sheetFormatPr baseColWidth="10" defaultColWidth="10.85546875" defaultRowHeight="15" outlineLevelCol="1" x14ac:dyDescent="0.25"/>
  <cols>
    <col min="1" max="1" width="32" style="170" customWidth="1"/>
    <col min="2" max="2" width="16.85546875" style="170" customWidth="1"/>
    <col min="3" max="3" width="3.42578125" style="170" bestFit="1" customWidth="1"/>
    <col min="4" max="4" width="22" style="170" customWidth="1"/>
    <col min="5" max="5" width="17.42578125" style="175" hidden="1" customWidth="1"/>
    <col min="6" max="7" width="4.42578125" style="170" hidden="1" customWidth="1"/>
    <col min="8" max="8" width="24.85546875" style="170" customWidth="1"/>
    <col min="9" max="9" width="30.7109375" style="170" customWidth="1"/>
    <col min="10" max="10" width="16" style="170" hidden="1" customWidth="1"/>
    <col min="11" max="11" width="9.42578125" style="170" hidden="1" customWidth="1"/>
    <col min="12" max="12" width="9" style="72" hidden="1" customWidth="1"/>
    <col min="13" max="24" width="7.7109375" style="170" hidden="1" customWidth="1" outlineLevel="1"/>
    <col min="25" max="25" width="11.42578125" style="176" hidden="1" customWidth="1"/>
    <col min="26" max="26" width="31.42578125" style="170" hidden="1" customWidth="1"/>
    <col min="27" max="27" width="11.42578125" style="170" hidden="1" customWidth="1"/>
    <col min="28" max="28" width="8.85546875" style="170" hidden="1" customWidth="1"/>
    <col min="29" max="29" width="9.7109375" style="170" hidden="1" customWidth="1"/>
    <col min="30" max="30" width="14.140625" style="170" hidden="1" customWidth="1"/>
    <col min="31" max="31" width="18" style="170" bestFit="1" customWidth="1"/>
    <col min="32" max="32" width="18.28515625" style="170" bestFit="1" customWidth="1"/>
    <col min="33" max="33" width="10.140625" style="170" bestFit="1" customWidth="1"/>
    <col min="34" max="34" width="2.140625" style="170" hidden="1" customWidth="1"/>
    <col min="35" max="35" width="15.5703125" style="170" hidden="1" customWidth="1"/>
    <col min="36" max="36" width="2.28515625" style="170" hidden="1" customWidth="1"/>
    <col min="37" max="39" width="15.7109375" style="170" customWidth="1"/>
    <col min="40" max="40" width="53.42578125" style="218" bestFit="1" customWidth="1"/>
    <col min="41" max="41" width="16.85546875" style="170" hidden="1" customWidth="1"/>
    <col min="42" max="42" width="0" style="170" hidden="1" customWidth="1"/>
    <col min="43" max="43" width="17.85546875" style="170" hidden="1" customWidth="1"/>
    <col min="44" max="45" width="0" style="170" hidden="1" customWidth="1"/>
    <col min="46" max="46" width="31.85546875" style="170" hidden="1" customWidth="1"/>
    <col min="47" max="47" width="13.5703125" style="170" hidden="1" customWidth="1"/>
    <col min="48" max="48" width="10.85546875" style="170"/>
    <col min="49" max="49" width="7" style="170" bestFit="1" customWidth="1"/>
    <col min="50" max="50" width="8.85546875" style="170" bestFit="1" customWidth="1"/>
    <col min="51" max="51" width="7.42578125" style="170" bestFit="1" customWidth="1"/>
    <col min="52" max="52" width="6" style="170" bestFit="1" customWidth="1"/>
    <col min="53" max="54" width="6.42578125" style="170" bestFit="1" customWidth="1"/>
    <col min="55" max="55" width="5.85546875" style="170" bestFit="1" customWidth="1"/>
    <col min="56" max="56" width="8.42578125" style="170" bestFit="1" customWidth="1"/>
    <col min="57" max="57" width="11.85546875" style="170" customWidth="1"/>
    <col min="58" max="58" width="9.140625" style="170" bestFit="1" customWidth="1"/>
    <col min="59" max="59" width="11.85546875" style="170" customWidth="1"/>
    <col min="60" max="60" width="10.42578125" style="170" bestFit="1" customWidth="1"/>
    <col min="61" max="73" width="10.85546875" style="170"/>
    <col min="74" max="79" width="9.42578125" style="170" customWidth="1"/>
    <col min="80" max="16384" width="10.85546875" style="170"/>
  </cols>
  <sheetData>
    <row r="1" spans="1:63" ht="29.25" customHeight="1" x14ac:dyDescent="0.25">
      <c r="A1" s="702" t="s">
        <v>212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3"/>
    </row>
    <row r="2" spans="1:63" ht="50.25" customHeight="1" thickBot="1" x14ac:dyDescent="0.3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5"/>
    </row>
    <row r="3" spans="1:63" ht="15.75" thickBot="1" x14ac:dyDescent="0.3"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</row>
    <row r="4" spans="1:63" ht="30.95" customHeight="1" thickBot="1" x14ac:dyDescent="0.3">
      <c r="A4" s="234" t="s">
        <v>196</v>
      </c>
      <c r="B4" s="233" t="s">
        <v>1</v>
      </c>
      <c r="C4" s="713" t="s">
        <v>2</v>
      </c>
      <c r="D4" s="713"/>
      <c r="E4" s="234" t="s">
        <v>50</v>
      </c>
      <c r="F4" s="234" t="s">
        <v>57</v>
      </c>
      <c r="G4" s="234" t="s">
        <v>58</v>
      </c>
      <c r="H4" s="234" t="s">
        <v>3</v>
      </c>
      <c r="I4" s="234" t="s">
        <v>62</v>
      </c>
      <c r="J4" s="234" t="s">
        <v>5</v>
      </c>
      <c r="K4" s="234" t="s">
        <v>6</v>
      </c>
      <c r="L4" s="234" t="s">
        <v>4</v>
      </c>
      <c r="M4" s="235">
        <v>42736</v>
      </c>
      <c r="N4" s="235">
        <v>42767</v>
      </c>
      <c r="O4" s="235">
        <v>42795</v>
      </c>
      <c r="P4" s="235">
        <v>42826</v>
      </c>
      <c r="Q4" s="235">
        <v>42856</v>
      </c>
      <c r="R4" s="235">
        <v>42887</v>
      </c>
      <c r="S4" s="235">
        <v>42917</v>
      </c>
      <c r="T4" s="235">
        <v>42948</v>
      </c>
      <c r="U4" s="235">
        <v>42979</v>
      </c>
      <c r="V4" s="235">
        <v>43009</v>
      </c>
      <c r="W4" s="235">
        <v>43040</v>
      </c>
      <c r="X4" s="235">
        <v>43070</v>
      </c>
      <c r="Y4" s="234" t="s">
        <v>10</v>
      </c>
      <c r="Z4" s="234" t="s">
        <v>54</v>
      </c>
      <c r="AA4" s="234" t="s">
        <v>60</v>
      </c>
      <c r="AB4" s="234" t="s">
        <v>9</v>
      </c>
      <c r="AC4" s="236" t="s">
        <v>11</v>
      </c>
      <c r="AD4" s="237" t="s">
        <v>12</v>
      </c>
      <c r="AE4" s="295" t="s">
        <v>157</v>
      </c>
      <c r="AF4" s="307" t="s">
        <v>151</v>
      </c>
      <c r="AG4" s="300" t="s">
        <v>4</v>
      </c>
      <c r="AH4" s="349"/>
      <c r="AI4" s="358" t="s">
        <v>214</v>
      </c>
      <c r="AJ4" s="371"/>
      <c r="AK4" s="236" t="s">
        <v>229</v>
      </c>
      <c r="AL4" s="236" t="s">
        <v>230</v>
      </c>
      <c r="AM4" s="300" t="s">
        <v>231</v>
      </c>
      <c r="AN4" s="300" t="s">
        <v>166</v>
      </c>
      <c r="AU4" s="174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4"/>
      <c r="BJ4" s="174"/>
    </row>
    <row r="5" spans="1:63" ht="30" x14ac:dyDescent="0.25">
      <c r="A5" s="341" t="s">
        <v>199</v>
      </c>
      <c r="B5" s="678" t="s">
        <v>73</v>
      </c>
      <c r="C5" s="243">
        <v>1</v>
      </c>
      <c r="D5" s="238" t="s">
        <v>116</v>
      </c>
      <c r="E5" s="225" t="s">
        <v>112</v>
      </c>
      <c r="F5" s="226"/>
      <c r="G5" s="226"/>
      <c r="H5" s="225" t="s">
        <v>159</v>
      </c>
      <c r="I5" s="225" t="s">
        <v>158</v>
      </c>
      <c r="J5" s="227"/>
      <c r="K5" s="182" t="s">
        <v>115</v>
      </c>
      <c r="L5" s="183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 t="e">
        <f>LOOKUP(1000000000,M5:X5)</f>
        <v>#N/A</v>
      </c>
      <c r="Z5" s="186"/>
      <c r="AA5" s="184" t="e">
        <f t="shared" ref="AA5:AA15" si="0">+IF(SLOPE(M5:X5,$M$4:$X$4)&gt;0,"Al alza",IF(SLOPE(M5:X5,$M$4:$X$4)&lt;0,"A la baja","Sin cambio"))</f>
        <v>#DIV/0!</v>
      </c>
      <c r="AB5" s="187" t="s">
        <v>13</v>
      </c>
      <c r="AC5" s="188">
        <v>9.6100000000000005E-3</v>
      </c>
      <c r="AD5" s="228" t="str">
        <f>IF($K$5="Sube",IF(ISERROR(Y5/$L$5)=TRUE,"",IF(Y5&gt;$L$5,AC5,Y5/$L$5*AC5)),IF(ISERROR($L$5/Y5)=TRUE,"",IF($L$5&lt;Y5,$L$5/Y5*AC5,AC5)))</f>
        <v/>
      </c>
      <c r="AE5" s="296" t="s">
        <v>144</v>
      </c>
      <c r="AF5" s="308" t="s">
        <v>224</v>
      </c>
      <c r="AG5" s="301">
        <v>8.3299999999999999E-2</v>
      </c>
      <c r="AH5" s="357"/>
      <c r="AI5" s="229"/>
      <c r="AJ5" s="412"/>
      <c r="AK5" s="357"/>
      <c r="AL5" s="414"/>
      <c r="AM5" s="424"/>
      <c r="AN5" s="366"/>
      <c r="AU5" s="174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74"/>
      <c r="BI5" s="174"/>
      <c r="BJ5" s="174"/>
    </row>
    <row r="6" spans="1:63" ht="30" x14ac:dyDescent="0.25">
      <c r="A6" s="676" t="s">
        <v>200</v>
      </c>
      <c r="B6" s="676"/>
      <c r="C6" s="244">
        <v>2</v>
      </c>
      <c r="D6" s="239" t="s">
        <v>149</v>
      </c>
      <c r="E6" s="181" t="s">
        <v>112</v>
      </c>
      <c r="F6" s="167"/>
      <c r="G6" s="167"/>
      <c r="H6" s="181" t="s">
        <v>150</v>
      </c>
      <c r="I6" s="181" t="s">
        <v>118</v>
      </c>
      <c r="J6" s="197"/>
      <c r="K6" s="190"/>
      <c r="L6" s="191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 t="e">
        <f>LOOKUP(1000000000,M6:X6)</f>
        <v>#N/A</v>
      </c>
      <c r="Z6" s="194"/>
      <c r="AA6" s="192" t="e">
        <f t="shared" si="0"/>
        <v>#DIV/0!</v>
      </c>
      <c r="AB6" s="195" t="s">
        <v>13</v>
      </c>
      <c r="AC6" s="196">
        <v>9.6100000000000005E-3</v>
      </c>
      <c r="AD6" s="221" t="str">
        <f>IF($K$6="Sube",IF(ISERROR(Y6/$L$6)=TRUE,"",IF(Y6&gt;$L$6,AC6,Y6/$L$6*AC6)),IF(ISERROR($L$6/Y6)=TRUE,"",IF($L$6&lt;Y6,$L$6/Y6*AC6,AC6)))</f>
        <v/>
      </c>
      <c r="AE6" s="297" t="s">
        <v>144</v>
      </c>
      <c r="AF6" s="309">
        <f>9.9925/9.9204-1</f>
        <v>7.2678521027376153E-3</v>
      </c>
      <c r="AG6" s="302">
        <v>0.01</v>
      </c>
      <c r="AH6" s="354"/>
      <c r="AI6" s="223"/>
      <c r="AJ6" s="418"/>
      <c r="AK6" s="404"/>
      <c r="AL6" s="425"/>
      <c r="AM6" s="426"/>
      <c r="AN6" s="367" t="s">
        <v>185</v>
      </c>
      <c r="AU6" s="174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74"/>
      <c r="BI6" s="174"/>
      <c r="BJ6" s="174"/>
    </row>
    <row r="7" spans="1:63" ht="30" x14ac:dyDescent="0.25">
      <c r="A7" s="676"/>
      <c r="B7" s="676"/>
      <c r="C7" s="244">
        <v>3</v>
      </c>
      <c r="D7" s="239" t="s">
        <v>117</v>
      </c>
      <c r="E7" s="181" t="s">
        <v>112</v>
      </c>
      <c r="F7" s="167"/>
      <c r="G7" s="167"/>
      <c r="H7" s="181" t="s">
        <v>183</v>
      </c>
      <c r="I7" s="181" t="s">
        <v>119</v>
      </c>
      <c r="J7" s="197"/>
      <c r="K7" s="190"/>
      <c r="L7" s="191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 t="e">
        <f t="shared" ref="Y7:Y15" si="1">LOOKUP(1000000000,M7:X7)</f>
        <v>#N/A</v>
      </c>
      <c r="Z7" s="194"/>
      <c r="AA7" s="192" t="e">
        <f t="shared" si="0"/>
        <v>#DIV/0!</v>
      </c>
      <c r="AB7" s="195" t="s">
        <v>13</v>
      </c>
      <c r="AC7" s="196">
        <v>9.6100000000000005E-3</v>
      </c>
      <c r="AD7" s="221" t="str">
        <f>IF($K$7="Sube",IF(ISERROR(Y7/$L$7)=TRUE,"",IF(Y7&gt;$L$7,AC7,Y7/$L$7*AC7)),IF(ISERROR($L$7/Y7)=TRUE,"",IF($L$7&lt;Y7,$L$7/Y7*AC7,AC7)))</f>
        <v/>
      </c>
      <c r="AE7" s="297" t="s">
        <v>144</v>
      </c>
      <c r="AF7" s="309">
        <v>0.88200000000000001</v>
      </c>
      <c r="AG7" s="303" t="s">
        <v>194</v>
      </c>
      <c r="AH7" s="355"/>
      <c r="AI7" s="224"/>
      <c r="AJ7" s="419"/>
      <c r="AK7" s="405"/>
      <c r="AL7" s="427"/>
      <c r="AM7" s="428"/>
      <c r="AN7" s="367" t="s">
        <v>184</v>
      </c>
      <c r="AU7" s="174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74"/>
      <c r="BI7" s="174"/>
      <c r="BJ7" s="174"/>
    </row>
    <row r="8" spans="1:63" ht="45" x14ac:dyDescent="0.25">
      <c r="A8" s="676"/>
      <c r="B8" s="676" t="s">
        <v>74</v>
      </c>
      <c r="C8" s="244">
        <v>4</v>
      </c>
      <c r="D8" s="241" t="s">
        <v>192</v>
      </c>
      <c r="E8" s="198" t="s">
        <v>114</v>
      </c>
      <c r="F8" s="172"/>
      <c r="G8" s="178"/>
      <c r="H8" s="321" t="s">
        <v>193</v>
      </c>
      <c r="I8" s="321" t="s">
        <v>213</v>
      </c>
      <c r="J8" s="199" t="s">
        <v>145</v>
      </c>
      <c r="K8" s="199" t="s">
        <v>100</v>
      </c>
      <c r="L8" s="201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 t="e">
        <f>LOOKUP(1000000000,M8:X8)</f>
        <v>#N/A</v>
      </c>
      <c r="Z8" s="199"/>
      <c r="AA8" s="202" t="e">
        <f>+IF(SLOPE(M8:X8,$M$4:$X$4)&gt;0,"Al alza",IF(SLOPE(M8:X8,$M$4:$X$4)&lt;0,"A la baja","Sin cambio"))</f>
        <v>#DIV/0!</v>
      </c>
      <c r="AB8" s="322" t="s">
        <v>13</v>
      </c>
      <c r="AC8" s="205">
        <v>9.6100000000000005E-3</v>
      </c>
      <c r="AD8" s="323" t="str">
        <f>IF($K$8="Sube",IF(ISERROR(Y8/$L$8)=TRUE,"",IF(Y8&gt;$L$8,AC8,Y8/$L$8*AC8)),IF(ISERROR($L$8/Y8)=TRUE,"",IF($L$8&lt;Y8,$L$8/Y8*AC8,AC8)))</f>
        <v/>
      </c>
      <c r="AE8" s="324" t="s">
        <v>144</v>
      </c>
      <c r="AF8" s="325">
        <f>7.218/9.426-1</f>
        <v>-0.23424570337364736</v>
      </c>
      <c r="AG8" s="326">
        <v>-0.2</v>
      </c>
      <c r="AH8" s="354"/>
      <c r="AI8" s="223"/>
      <c r="AJ8" s="418"/>
      <c r="AK8" s="404"/>
      <c r="AL8" s="425"/>
      <c r="AM8" s="426"/>
      <c r="AN8" s="367"/>
      <c r="AU8" s="174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74"/>
      <c r="BI8" s="174"/>
      <c r="BJ8" s="174"/>
    </row>
    <row r="9" spans="1:63" ht="45.75" thickBot="1" x14ac:dyDescent="0.3">
      <c r="A9" s="677"/>
      <c r="B9" s="677"/>
      <c r="C9" s="245">
        <v>5</v>
      </c>
      <c r="D9" s="271" t="s">
        <v>125</v>
      </c>
      <c r="E9" s="272" t="s">
        <v>112</v>
      </c>
      <c r="F9" s="273"/>
      <c r="G9" s="274"/>
      <c r="H9" s="272" t="s">
        <v>154</v>
      </c>
      <c r="I9" s="272" t="s">
        <v>155</v>
      </c>
      <c r="J9" s="275" t="s">
        <v>144</v>
      </c>
      <c r="K9" s="276" t="s">
        <v>100</v>
      </c>
      <c r="L9" s="277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 t="e">
        <f>LOOKUP(1000000000,M9:X9)</f>
        <v>#N/A</v>
      </c>
      <c r="Z9" s="275"/>
      <c r="AA9" s="278" t="e">
        <f>+IF(SLOPE(M9:X9,$M$4:$X$4)&gt;0,"Al alza",IF(SLOPE(M9:X9,$M$4:$X$4)&lt;0,"A la baja","Sin cambio"))</f>
        <v>#DIV/0!</v>
      </c>
      <c r="AB9" s="230" t="s">
        <v>13</v>
      </c>
      <c r="AC9" s="280">
        <v>9.6100000000000005E-3</v>
      </c>
      <c r="AD9" s="281" t="str">
        <f>IF($K$9="Sube",IF(ISERROR(Y9/$L$9)=TRUE,"",IF(Y9&gt;$L$9,AC9,Y9/$L$9*AC9)),IF(ISERROR($L$9/Y9)=TRUE,"",IF($L$9&lt;Y9,$L$9/Y9*AC9,AC9)))</f>
        <v/>
      </c>
      <c r="AE9" s="299" t="s">
        <v>144</v>
      </c>
      <c r="AF9" s="313">
        <f>1152/1344</f>
        <v>0.8571428571428571</v>
      </c>
      <c r="AG9" s="348" t="s">
        <v>189</v>
      </c>
      <c r="AH9" s="282"/>
      <c r="AI9" s="359"/>
      <c r="AJ9" s="420"/>
      <c r="AK9" s="405"/>
      <c r="AL9" s="427"/>
      <c r="AM9" s="428"/>
      <c r="AN9" s="368"/>
      <c r="AU9" s="174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74"/>
      <c r="BI9" s="174"/>
      <c r="BJ9" s="174"/>
    </row>
    <row r="10" spans="1:63" s="399" customFormat="1" ht="60.75" thickBot="1" x14ac:dyDescent="0.3">
      <c r="A10" s="380" t="s">
        <v>209</v>
      </c>
      <c r="B10" s="381" t="s">
        <v>210</v>
      </c>
      <c r="C10" s="382">
        <v>6</v>
      </c>
      <c r="D10" s="383" t="s">
        <v>334</v>
      </c>
      <c r="E10" s="384" t="s">
        <v>113</v>
      </c>
      <c r="F10" s="385"/>
      <c r="G10" s="385"/>
      <c r="H10" s="384" t="s">
        <v>335</v>
      </c>
      <c r="I10" s="384" t="s">
        <v>336</v>
      </c>
      <c r="J10" s="384"/>
      <c r="K10" s="384"/>
      <c r="L10" s="386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8" t="e">
        <f t="shared" si="1"/>
        <v>#N/A</v>
      </c>
      <c r="Z10" s="389"/>
      <c r="AA10" s="387" t="e">
        <f t="shared" si="0"/>
        <v>#DIV/0!</v>
      </c>
      <c r="AB10" s="390" t="s">
        <v>13</v>
      </c>
      <c r="AC10" s="391">
        <v>9.6100000000000005E-3</v>
      </c>
      <c r="AD10" s="392" t="str">
        <f>IF($K$10="Sube",IF(ISERROR(Y10/$L$10)=TRUE,"",IF(Y10&gt;$L$10,AC10,Y10/$L$10*AC10)),IF(ISERROR($L$10/Y10)=TRUE,"",IF($L$10&lt;Y10,$L$10/Y10*AC10,AC10)))</f>
        <v/>
      </c>
      <c r="AE10" s="393" t="s">
        <v>148</v>
      </c>
      <c r="AF10" s="394" t="s">
        <v>153</v>
      </c>
      <c r="AG10" s="395">
        <v>0.5</v>
      </c>
      <c r="AH10" s="396" t="s">
        <v>174</v>
      </c>
      <c r="AI10" s="397">
        <v>0.95</v>
      </c>
      <c r="AJ10" s="398"/>
      <c r="AK10" s="429"/>
      <c r="AL10" s="430"/>
      <c r="AM10" s="431"/>
      <c r="AN10" s="407"/>
      <c r="AT10" s="400"/>
      <c r="AU10" s="401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1"/>
      <c r="BI10" s="401"/>
      <c r="BJ10" s="401"/>
    </row>
    <row r="11" spans="1:63" ht="105.75" customHeight="1" thickBot="1" x14ac:dyDescent="0.3">
      <c r="A11" s="342" t="s">
        <v>197</v>
      </c>
      <c r="B11" s="315" t="s">
        <v>73</v>
      </c>
      <c r="C11" s="257">
        <v>7</v>
      </c>
      <c r="D11" s="258" t="s">
        <v>122</v>
      </c>
      <c r="E11" s="259" t="s">
        <v>121</v>
      </c>
      <c r="F11" s="260"/>
      <c r="G11" s="261"/>
      <c r="H11" s="262" t="s">
        <v>123</v>
      </c>
      <c r="I11" s="262" t="s">
        <v>124</v>
      </c>
      <c r="J11" s="263" t="s">
        <v>108</v>
      </c>
      <c r="K11" s="264" t="s">
        <v>100</v>
      </c>
      <c r="L11" s="265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 t="e">
        <f t="shared" ref="Y11" si="2">LOOKUP(1000000000,M11:X11)</f>
        <v>#N/A</v>
      </c>
      <c r="Z11" s="263"/>
      <c r="AA11" s="266" t="e">
        <f t="shared" ref="AA11" si="3">+IF(SLOPE(M11:X11,$M$4:$X$4)&gt;0,"Al alza",IF(SLOPE(M11:X11,$M$4:$X$4)&lt;0,"A la baja","Sin cambio"))</f>
        <v>#DIV/0!</v>
      </c>
      <c r="AB11" s="209" t="s">
        <v>13</v>
      </c>
      <c r="AC11" s="268">
        <v>9.6100000000000005E-3</v>
      </c>
      <c r="AD11" s="269"/>
      <c r="AE11" s="296" t="s">
        <v>108</v>
      </c>
      <c r="AF11" s="311" t="s">
        <v>153</v>
      </c>
      <c r="AG11" s="301">
        <v>1</v>
      </c>
      <c r="AH11" s="270"/>
      <c r="AI11" s="229"/>
      <c r="AJ11" s="412"/>
      <c r="AK11" s="432"/>
      <c r="AL11" s="433"/>
      <c r="AM11" s="434"/>
      <c r="AN11" s="406"/>
      <c r="AT11" s="319"/>
      <c r="AU11" s="174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74"/>
      <c r="BI11" s="174"/>
      <c r="BJ11" s="174"/>
    </row>
    <row r="12" spans="1:63" ht="90" x14ac:dyDescent="0.25">
      <c r="A12" s="316" t="s">
        <v>201</v>
      </c>
      <c r="B12" s="678" t="s">
        <v>48</v>
      </c>
      <c r="C12" s="714">
        <v>8</v>
      </c>
      <c r="D12" s="694" t="s">
        <v>126</v>
      </c>
      <c r="E12" s="225" t="s">
        <v>121</v>
      </c>
      <c r="F12" s="226"/>
      <c r="G12" s="226"/>
      <c r="H12" s="712" t="s">
        <v>181</v>
      </c>
      <c r="I12" s="712" t="s">
        <v>129</v>
      </c>
      <c r="J12" s="186"/>
      <c r="K12" s="264"/>
      <c r="L12" s="265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7" t="e">
        <f t="shared" si="1"/>
        <v>#N/A</v>
      </c>
      <c r="Z12" s="263"/>
      <c r="AA12" s="266" t="e">
        <f t="shared" si="0"/>
        <v>#DIV/0!</v>
      </c>
      <c r="AB12" s="209" t="s">
        <v>13</v>
      </c>
      <c r="AC12" s="268">
        <v>9.6100000000000005E-3</v>
      </c>
      <c r="AD12" s="269" t="str">
        <f>IF($K$12="Sube",IF(ISERROR(Y12/$L$12)=TRUE,"",IF(Y12&gt;$L$12,AC12,Y12/$L$12*AC12)),IF(ISERROR($L$12/Y12)=TRUE,"",IF($L$12&lt;Y12,$L$12/Y12*AC12,AC12)))</f>
        <v/>
      </c>
      <c r="AE12" s="711" t="s">
        <v>108</v>
      </c>
      <c r="AF12" s="710" t="s">
        <v>153</v>
      </c>
      <c r="AG12" s="709">
        <v>1</v>
      </c>
      <c r="AH12" s="707"/>
      <c r="AI12" s="667"/>
      <c r="AJ12" s="670"/>
      <c r="AK12" s="403"/>
      <c r="AL12" s="435"/>
      <c r="AM12" s="680"/>
      <c r="AN12" s="706"/>
      <c r="AU12" s="174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74"/>
      <c r="BI12" s="174"/>
      <c r="BJ12" s="174"/>
    </row>
    <row r="13" spans="1:63" ht="60" x14ac:dyDescent="0.25">
      <c r="A13" s="317" t="s">
        <v>202</v>
      </c>
      <c r="B13" s="676"/>
      <c r="C13" s="688"/>
      <c r="D13" s="695"/>
      <c r="E13" s="181"/>
      <c r="F13" s="167"/>
      <c r="G13" s="167"/>
      <c r="H13" s="698"/>
      <c r="I13" s="698"/>
      <c r="J13" s="194"/>
      <c r="K13" s="200"/>
      <c r="L13" s="201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3"/>
      <c r="Z13" s="199"/>
      <c r="AA13" s="202"/>
      <c r="AB13" s="204"/>
      <c r="AC13" s="205"/>
      <c r="AD13" s="222"/>
      <c r="AE13" s="699"/>
      <c r="AF13" s="692"/>
      <c r="AG13" s="701"/>
      <c r="AH13" s="708"/>
      <c r="AI13" s="668"/>
      <c r="AJ13" s="671"/>
      <c r="AK13" s="403"/>
      <c r="AL13" s="435"/>
      <c r="AM13" s="680"/>
      <c r="AN13" s="682"/>
      <c r="AU13" s="174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74"/>
      <c r="BI13" s="174"/>
      <c r="BJ13" s="174"/>
    </row>
    <row r="14" spans="1:63" ht="30" customHeight="1" x14ac:dyDescent="0.25">
      <c r="A14" s="343" t="s">
        <v>203</v>
      </c>
      <c r="B14" s="676"/>
      <c r="C14" s="688">
        <v>9</v>
      </c>
      <c r="D14" s="695" t="s">
        <v>127</v>
      </c>
      <c r="E14" s="327"/>
      <c r="F14" s="328"/>
      <c r="G14" s="328"/>
      <c r="H14" s="698" t="s">
        <v>180</v>
      </c>
      <c r="I14" s="698" t="s">
        <v>167</v>
      </c>
      <c r="J14" s="194"/>
      <c r="K14" s="200"/>
      <c r="L14" s="201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199"/>
      <c r="AA14" s="202"/>
      <c r="AB14" s="204"/>
      <c r="AC14" s="205"/>
      <c r="AD14" s="222"/>
      <c r="AE14" s="699" t="s">
        <v>108</v>
      </c>
      <c r="AF14" s="692" t="s">
        <v>153</v>
      </c>
      <c r="AG14" s="701">
        <v>1</v>
      </c>
      <c r="AH14" s="681"/>
      <c r="AI14" s="669"/>
      <c r="AJ14" s="672"/>
      <c r="AK14" s="404"/>
      <c r="AL14" s="425"/>
      <c r="AM14" s="680"/>
      <c r="AN14" s="679"/>
      <c r="AU14" s="174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74"/>
      <c r="BI14" s="174"/>
      <c r="BJ14" s="174"/>
    </row>
    <row r="15" spans="1:63" ht="60" x14ac:dyDescent="0.25">
      <c r="A15" s="343" t="s">
        <v>204</v>
      </c>
      <c r="B15" s="676"/>
      <c r="C15" s="688"/>
      <c r="D15" s="695"/>
      <c r="E15" s="327" t="s">
        <v>121</v>
      </c>
      <c r="F15" s="328"/>
      <c r="G15" s="328"/>
      <c r="H15" s="698"/>
      <c r="I15" s="698"/>
      <c r="J15" s="194"/>
      <c r="K15" s="200"/>
      <c r="L15" s="201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3" t="e">
        <f t="shared" si="1"/>
        <v>#N/A</v>
      </c>
      <c r="Z15" s="199"/>
      <c r="AA15" s="202" t="e">
        <f t="shared" si="0"/>
        <v>#DIV/0!</v>
      </c>
      <c r="AB15" s="204" t="s">
        <v>13</v>
      </c>
      <c r="AC15" s="205">
        <v>9.6100000000000005E-3</v>
      </c>
      <c r="AD15" s="222" t="str">
        <f>IF($K$15="Sube",IF(ISERROR(Y15/$L$15)=TRUE,"",IF(Y15&gt;$L$15,AC15,Y15/$L$15*AC15)),IF(ISERROR($L$15/Y15)=TRUE,"",IF($L$15&lt;Y15,$L$15/Y15*AC15,AC15)))</f>
        <v/>
      </c>
      <c r="AE15" s="699"/>
      <c r="AF15" s="692"/>
      <c r="AG15" s="701"/>
      <c r="AH15" s="681"/>
      <c r="AI15" s="668"/>
      <c r="AJ15" s="672"/>
      <c r="AK15" s="404"/>
      <c r="AL15" s="425"/>
      <c r="AM15" s="680"/>
      <c r="AN15" s="679"/>
      <c r="AU15" s="174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74"/>
      <c r="BI15" s="174"/>
      <c r="BJ15" s="174"/>
    </row>
    <row r="16" spans="1:63" ht="105.75" thickBot="1" x14ac:dyDescent="0.3">
      <c r="A16" s="318" t="s">
        <v>211</v>
      </c>
      <c r="B16" s="677"/>
      <c r="C16" s="245">
        <v>10</v>
      </c>
      <c r="D16" s="240" t="s">
        <v>128</v>
      </c>
      <c r="E16" s="231" t="s">
        <v>121</v>
      </c>
      <c r="F16" s="283"/>
      <c r="G16" s="283"/>
      <c r="H16" s="231" t="s">
        <v>179</v>
      </c>
      <c r="I16" s="231" t="s">
        <v>168</v>
      </c>
      <c r="J16" s="232"/>
      <c r="K16" s="276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9"/>
      <c r="Z16" s="275"/>
      <c r="AA16" s="278"/>
      <c r="AB16" s="230"/>
      <c r="AC16" s="280"/>
      <c r="AD16" s="281"/>
      <c r="AE16" s="299" t="s">
        <v>108</v>
      </c>
      <c r="AF16" s="312" t="s">
        <v>153</v>
      </c>
      <c r="AG16" s="304">
        <v>1</v>
      </c>
      <c r="AH16" s="284"/>
      <c r="AI16" s="360"/>
      <c r="AJ16" s="421"/>
      <c r="AK16" s="404"/>
      <c r="AL16" s="425"/>
      <c r="AM16" s="426"/>
      <c r="AN16" s="369"/>
      <c r="AU16" s="174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74"/>
      <c r="BI16" s="174"/>
      <c r="BJ16" s="174"/>
    </row>
    <row r="17" spans="1:63" ht="105.75" thickBot="1" x14ac:dyDescent="0.3">
      <c r="A17" s="344" t="s">
        <v>195</v>
      </c>
      <c r="B17" s="288" t="s">
        <v>75</v>
      </c>
      <c r="C17" s="246">
        <v>11</v>
      </c>
      <c r="D17" s="247" t="s">
        <v>177</v>
      </c>
      <c r="E17" s="248" t="s">
        <v>121</v>
      </c>
      <c r="F17" s="345"/>
      <c r="G17" s="346"/>
      <c r="H17" s="347" t="s">
        <v>178</v>
      </c>
      <c r="I17" s="248" t="s">
        <v>130</v>
      </c>
      <c r="J17" s="289" t="s">
        <v>108</v>
      </c>
      <c r="K17" s="250" t="s">
        <v>100</v>
      </c>
      <c r="L17" s="251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3" t="e">
        <f t="shared" ref="Y17:Y20" si="4">LOOKUP(1000000000,M17:X17)</f>
        <v>#N/A</v>
      </c>
      <c r="Z17" s="249"/>
      <c r="AA17" s="252" t="e">
        <f t="shared" ref="AA17:AA19" si="5">+IF(SLOPE(M17:X17,$M$4:$X$4)&gt;0,"Al alza",IF(SLOPE(M17:X17,$M$4:$X$4)&lt;0,"A la baja","Sin cambio"))</f>
        <v>#DIV/0!</v>
      </c>
      <c r="AB17" s="254" t="s">
        <v>13</v>
      </c>
      <c r="AC17" s="255">
        <v>9.6100000000000005E-3</v>
      </c>
      <c r="AD17" s="256" t="str">
        <f>IF($K$17="Sube",IF(ISERROR(Y17/$L$17)=TRUE,"",IF(Y17&gt;$L$17,AC17,Y17/$L$17*AC17)),IF(ISERROR($L$17/Y17)=TRUE,"",IF($L$17&lt;Y17,$L$17/Y17*AC17,AC17)))</f>
        <v/>
      </c>
      <c r="AE17" s="298" t="s">
        <v>108</v>
      </c>
      <c r="AF17" s="310">
        <v>0.97599999999999998</v>
      </c>
      <c r="AG17" s="306" t="s">
        <v>189</v>
      </c>
      <c r="AH17" s="375" t="s">
        <v>174</v>
      </c>
      <c r="AI17" s="379">
        <v>0.96299999999999997</v>
      </c>
      <c r="AJ17" s="410" t="s">
        <v>174</v>
      </c>
      <c r="AK17" s="405"/>
      <c r="AL17" s="427"/>
      <c r="AM17" s="436">
        <v>0.98199999999999998</v>
      </c>
      <c r="AN17" s="370" t="s">
        <v>226</v>
      </c>
      <c r="AU17" s="174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74"/>
      <c r="BI17" s="174"/>
      <c r="BJ17" s="174"/>
    </row>
    <row r="18" spans="1:63" ht="60" x14ac:dyDescent="0.25">
      <c r="A18" s="678" t="s">
        <v>206</v>
      </c>
      <c r="B18" s="678" t="s">
        <v>79</v>
      </c>
      <c r="C18" s="243">
        <v>12</v>
      </c>
      <c r="D18" s="290" t="s">
        <v>137</v>
      </c>
      <c r="E18" s="291" t="s">
        <v>112</v>
      </c>
      <c r="F18" s="292"/>
      <c r="G18" s="293"/>
      <c r="H18" s="291" t="s">
        <v>176</v>
      </c>
      <c r="I18" s="291" t="s">
        <v>160</v>
      </c>
      <c r="J18" s="294" t="s">
        <v>146</v>
      </c>
      <c r="K18" s="264"/>
      <c r="L18" s="26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7" t="e">
        <f t="shared" si="4"/>
        <v>#N/A</v>
      </c>
      <c r="Z18" s="263"/>
      <c r="AA18" s="266" t="e">
        <f t="shared" si="5"/>
        <v>#DIV/0!</v>
      </c>
      <c r="AB18" s="209" t="s">
        <v>13</v>
      </c>
      <c r="AC18" s="268">
        <v>9.6100000000000005E-3</v>
      </c>
      <c r="AD18" s="269" t="str">
        <f>IF($K$18="Sube",IF(ISERROR(Y18/$L$18)=TRUE,"",IF(Y18&gt;$L$18,AC18,Y18/$L$18*AC18)),IF(ISERROR($L$18/Y18)=TRUE,"",IF($L$18&lt;Y18,$L$18/Y18*AC18,AC18)))</f>
        <v/>
      </c>
      <c r="AE18" s="296" t="s">
        <v>144</v>
      </c>
      <c r="AF18" s="376">
        <v>41.3</v>
      </c>
      <c r="AG18" s="378">
        <v>50</v>
      </c>
      <c r="AH18" s="285"/>
      <c r="AI18" s="361"/>
      <c r="AJ18" s="422"/>
      <c r="AK18" s="372"/>
      <c r="AL18" s="172"/>
      <c r="AM18" s="437"/>
      <c r="AN18" s="377" t="s">
        <v>223</v>
      </c>
      <c r="AU18" s="174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74"/>
      <c r="BI18" s="174"/>
      <c r="BJ18" s="174"/>
    </row>
    <row r="19" spans="1:63" ht="51" customHeight="1" thickBot="1" x14ac:dyDescent="0.3">
      <c r="A19" s="676"/>
      <c r="B19" s="676"/>
      <c r="C19" s="244">
        <v>13</v>
      </c>
      <c r="D19" s="242" t="s">
        <v>138</v>
      </c>
      <c r="E19" s="207" t="s">
        <v>112</v>
      </c>
      <c r="F19" s="168"/>
      <c r="G19" s="169"/>
      <c r="H19" s="207" t="s">
        <v>165</v>
      </c>
      <c r="I19" s="207" t="s">
        <v>161</v>
      </c>
      <c r="J19" s="208" t="s">
        <v>146</v>
      </c>
      <c r="K19" s="200" t="s">
        <v>100</v>
      </c>
      <c r="L19" s="201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3" t="e">
        <f t="shared" si="4"/>
        <v>#N/A</v>
      </c>
      <c r="Z19" s="199"/>
      <c r="AA19" s="202" t="e">
        <f t="shared" si="5"/>
        <v>#DIV/0!</v>
      </c>
      <c r="AB19" s="204" t="s">
        <v>13</v>
      </c>
      <c r="AC19" s="205">
        <v>9.6100000000000005E-3</v>
      </c>
      <c r="AD19" s="222" t="str">
        <f>IF($K$19="Sube",IF(ISERROR(Y19/$L$19)=TRUE,"",IF(Y19&gt;$L$19,AC19,Y19/$L$19*AC19)),IF(ISERROR($L$19/Y19)=TRUE,"",IF($L$19&lt;Y19,$L$19/Y19*AC19,AC19)))</f>
        <v/>
      </c>
      <c r="AE19" s="297" t="s">
        <v>108</v>
      </c>
      <c r="AF19" s="314"/>
      <c r="AG19" s="305"/>
      <c r="AH19" s="179"/>
      <c r="AI19" s="362"/>
      <c r="AJ19" s="423"/>
      <c r="AK19" s="372"/>
      <c r="AL19" s="172"/>
      <c r="AM19" s="437"/>
      <c r="AN19" s="367" t="s">
        <v>222</v>
      </c>
      <c r="AU19" s="174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74"/>
      <c r="BI19" s="174"/>
      <c r="BJ19" s="174"/>
    </row>
    <row r="20" spans="1:63" ht="60" x14ac:dyDescent="0.25">
      <c r="A20" s="678" t="s">
        <v>198</v>
      </c>
      <c r="B20" s="336" t="s">
        <v>80</v>
      </c>
      <c r="C20" s="243">
        <v>14</v>
      </c>
      <c r="D20" s="320" t="s">
        <v>139</v>
      </c>
      <c r="E20" s="262" t="s">
        <v>121</v>
      </c>
      <c r="F20" s="217"/>
      <c r="G20" s="217"/>
      <c r="H20" s="262" t="s">
        <v>187</v>
      </c>
      <c r="I20" s="262" t="s">
        <v>186</v>
      </c>
      <c r="J20" s="286" t="s">
        <v>145</v>
      </c>
      <c r="K20" s="264" t="s">
        <v>100</v>
      </c>
      <c r="L20" s="265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7" t="e">
        <f t="shared" si="4"/>
        <v>#N/A</v>
      </c>
      <c r="Z20" s="263"/>
      <c r="AA20" s="266" t="e">
        <f>+IF(SLOPE(M20:X20,$M$4:$X$4)&gt;0,"Al alza",IF(SLOPE(M20:X20,$M$4:$X$4)&lt;0,"A la baja","Sin cambio"))</f>
        <v>#DIV/0!</v>
      </c>
      <c r="AB20" s="209" t="s">
        <v>13</v>
      </c>
      <c r="AC20" s="268">
        <v>9.6100000000000005E-3</v>
      </c>
      <c r="AD20" s="269" t="str">
        <f>IF($K$20="Sube",IF(ISERROR(Y20/$L$20)=TRUE,"",IF(Y20&gt;$L$20,AC20,Y20/$L$20*AC20)),IF(ISERROR($L$20/Y20)=TRUE,"",IF($L$20&lt;Y20,$L$20/Y20*AC20,AC20)))</f>
        <v/>
      </c>
      <c r="AE20" s="296" t="s">
        <v>148</v>
      </c>
      <c r="AF20" s="308">
        <v>1</v>
      </c>
      <c r="AG20" s="301">
        <v>1</v>
      </c>
      <c r="AH20" s="270"/>
      <c r="AI20" s="229"/>
      <c r="AJ20" s="412" t="s">
        <v>174</v>
      </c>
      <c r="AK20" s="432"/>
      <c r="AL20" s="433"/>
      <c r="AM20" s="434">
        <v>0.4</v>
      </c>
      <c r="AN20" s="366"/>
      <c r="AO20" s="219">
        <v>2535256775.75</v>
      </c>
      <c r="AP20" s="170" t="s">
        <v>170</v>
      </c>
      <c r="AQ20" s="216">
        <v>24852870354.630001</v>
      </c>
      <c r="AR20" s="170" t="s">
        <v>171</v>
      </c>
      <c r="AS20" s="220">
        <f>+AO20/AO23</f>
        <v>1.1527015655031936</v>
      </c>
      <c r="AU20" s="174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74"/>
      <c r="BI20" s="174"/>
      <c r="BJ20" s="174"/>
    </row>
    <row r="21" spans="1:63" ht="45.95" customHeight="1" x14ac:dyDescent="0.25">
      <c r="A21" s="676"/>
      <c r="B21" s="676" t="s">
        <v>78</v>
      </c>
      <c r="C21" s="688">
        <v>15</v>
      </c>
      <c r="D21" s="686" t="s">
        <v>134</v>
      </c>
      <c r="E21" s="198" t="s">
        <v>135</v>
      </c>
      <c r="F21" s="172"/>
      <c r="G21" s="172"/>
      <c r="H21" s="684" t="s">
        <v>156</v>
      </c>
      <c r="I21" s="684" t="s">
        <v>136</v>
      </c>
      <c r="J21" s="206" t="s">
        <v>108</v>
      </c>
      <c r="K21" s="200" t="s">
        <v>100</v>
      </c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e">
        <f t="shared" ref="Y21" si="6">LOOKUP(1000000000,M21:X21)</f>
        <v>#N/A</v>
      </c>
      <c r="Z21" s="199"/>
      <c r="AA21" s="202" t="e">
        <f t="shared" ref="AA21" si="7">+IF(SLOPE(M21:X21,$M$4:$X$4)&gt;0,"Al alza",IF(SLOPE(M21:X21,$M$4:$X$4)&lt;0,"A la baja","Sin cambio"))</f>
        <v>#DIV/0!</v>
      </c>
      <c r="AB21" s="204" t="s">
        <v>13</v>
      </c>
      <c r="AC21" s="205">
        <v>9.6100000000000005E-3</v>
      </c>
      <c r="AD21" s="222" t="e">
        <f>IF(#REF!="Sube",IF(ISERROR(Y21/#REF!)=TRUE,"",IF(Y21&gt;#REF!,AC21,Y21/#REF!*AC21)),IF(ISERROR(#REF!/Y21)=TRUE,"",IF(#REF!&lt;Y21,#REF!/Y21*AC21,AC21)))</f>
        <v>#REF!</v>
      </c>
      <c r="AE21" s="699" t="s">
        <v>148</v>
      </c>
      <c r="AF21" s="692" t="s">
        <v>153</v>
      </c>
      <c r="AG21" s="690" t="s">
        <v>188</v>
      </c>
      <c r="AH21" s="696"/>
      <c r="AI21" s="665"/>
      <c r="AJ21" s="673" t="s">
        <v>174</v>
      </c>
      <c r="AK21" s="405"/>
      <c r="AL21" s="427"/>
      <c r="AM21" s="675">
        <v>0</v>
      </c>
      <c r="AN21" s="682" t="s">
        <v>220</v>
      </c>
      <c r="AU21" s="174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74"/>
      <c r="BI21" s="174"/>
      <c r="BJ21" s="174"/>
    </row>
    <row r="22" spans="1:63" ht="30.75" thickBot="1" x14ac:dyDescent="0.3">
      <c r="A22" s="318" t="s">
        <v>207</v>
      </c>
      <c r="B22" s="677"/>
      <c r="C22" s="689"/>
      <c r="D22" s="687"/>
      <c r="E22" s="272"/>
      <c r="F22" s="273"/>
      <c r="G22" s="273"/>
      <c r="H22" s="685"/>
      <c r="I22" s="685"/>
      <c r="J22" s="287"/>
      <c r="K22" s="276"/>
      <c r="L22" s="277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9"/>
      <c r="Z22" s="275"/>
      <c r="AA22" s="278"/>
      <c r="AB22" s="230"/>
      <c r="AC22" s="280"/>
      <c r="AD22" s="281"/>
      <c r="AE22" s="700"/>
      <c r="AF22" s="693"/>
      <c r="AG22" s="691"/>
      <c r="AH22" s="697"/>
      <c r="AI22" s="666"/>
      <c r="AJ22" s="674"/>
      <c r="AK22" s="405"/>
      <c r="AL22" s="427"/>
      <c r="AM22" s="675"/>
      <c r="AN22" s="683"/>
      <c r="AU22" s="174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74"/>
      <c r="BI22" s="174"/>
      <c r="BJ22" s="174"/>
    </row>
    <row r="23" spans="1:63" ht="45.75" thickBot="1" x14ac:dyDescent="0.3">
      <c r="A23" s="678" t="s">
        <v>205</v>
      </c>
      <c r="B23" s="316" t="s">
        <v>81</v>
      </c>
      <c r="C23" s="243">
        <v>16</v>
      </c>
      <c r="D23" s="258" t="s">
        <v>140</v>
      </c>
      <c r="E23" s="262" t="s">
        <v>112</v>
      </c>
      <c r="F23" s="217"/>
      <c r="G23" s="217"/>
      <c r="H23" s="262" t="s">
        <v>190</v>
      </c>
      <c r="I23" s="262" t="s">
        <v>173</v>
      </c>
      <c r="J23" s="286" t="s">
        <v>147</v>
      </c>
      <c r="K23" s="264" t="s">
        <v>100</v>
      </c>
      <c r="L23" s="265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Z23" s="263"/>
      <c r="AA23" s="266"/>
      <c r="AB23" s="209"/>
      <c r="AC23" s="268"/>
      <c r="AD23" s="269"/>
      <c r="AE23" s="296" t="s">
        <v>107</v>
      </c>
      <c r="AF23" s="329">
        <f>24852870354.63/23954712885.28</f>
        <v>1.0374939776423666</v>
      </c>
      <c r="AG23" s="330" t="s">
        <v>191</v>
      </c>
      <c r="AH23" s="331" t="s">
        <v>174</v>
      </c>
      <c r="AI23" s="363">
        <v>0.86</v>
      </c>
      <c r="AJ23" s="411"/>
      <c r="AK23" s="438">
        <v>0.86</v>
      </c>
      <c r="AL23" s="439">
        <v>0.81</v>
      </c>
      <c r="AM23" s="440">
        <f>8050261391/8128583746</f>
        <v>0.99036457549711021</v>
      </c>
      <c r="AN23" s="417" t="s">
        <v>228</v>
      </c>
      <c r="AO23" s="216">
        <v>2199404296.5</v>
      </c>
      <c r="AP23" s="170" t="s">
        <v>169</v>
      </c>
      <c r="AQ23" s="170">
        <v>20823779894.189999</v>
      </c>
      <c r="AR23" s="170" t="s">
        <v>172</v>
      </c>
      <c r="AT23" s="408">
        <v>96169048</v>
      </c>
      <c r="AU23" s="409">
        <v>8050261391</v>
      </c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74"/>
      <c r="BI23" s="174"/>
      <c r="BJ23" s="174"/>
    </row>
    <row r="24" spans="1:63" ht="45.75" thickBot="1" x14ac:dyDescent="0.3">
      <c r="A24" s="677"/>
      <c r="B24" s="334" t="s">
        <v>72</v>
      </c>
      <c r="C24" s="245">
        <v>17</v>
      </c>
      <c r="D24" s="271" t="s">
        <v>120</v>
      </c>
      <c r="E24" s="272" t="s">
        <v>121</v>
      </c>
      <c r="F24" s="273"/>
      <c r="G24" s="273"/>
      <c r="H24" s="272" t="s">
        <v>182</v>
      </c>
      <c r="I24" s="272" t="s">
        <v>152</v>
      </c>
      <c r="J24" s="275" t="s">
        <v>143</v>
      </c>
      <c r="K24" s="276" t="s">
        <v>100</v>
      </c>
      <c r="L24" s="277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9" t="e">
        <f>LOOKUP(1000000000,M24:X24)</f>
        <v>#N/A</v>
      </c>
      <c r="Z24" s="275"/>
      <c r="AA24" s="278" t="e">
        <f>+IF(SLOPE(M24:X24,$M$4:$X$4)&gt;0,"Al alza",IF(SLOPE(M24:X24,$M$4:$X$4)&lt;0,"A la baja","Sin cambio"))</f>
        <v>#DIV/0!</v>
      </c>
      <c r="AB24" s="230" t="s">
        <v>13</v>
      </c>
      <c r="AC24" s="280">
        <v>9.6100000000000005E-3</v>
      </c>
      <c r="AD24" s="281" t="str">
        <f>IF($K$24="Sube",IF(ISERROR(Y24/$L$24)=TRUE,"",IF(Y24&gt;$L$24,AC24,Y24/$L$24*AC24)),IF(ISERROR($L$24/Y24)=TRUE,"",IF($L$24&lt;Y24,$L$24/Y24*AC24,AC24)))</f>
        <v/>
      </c>
      <c r="AE24" s="299" t="s">
        <v>148</v>
      </c>
      <c r="AF24" s="313">
        <f>440994470/600000000</f>
        <v>0.73499078333333334</v>
      </c>
      <c r="AG24" s="332">
        <v>0.8</v>
      </c>
      <c r="AH24" s="333"/>
      <c r="AI24" s="364"/>
      <c r="AJ24" s="413" t="s">
        <v>174</v>
      </c>
      <c r="AK24" s="432"/>
      <c r="AL24" s="433"/>
      <c r="AM24" s="434">
        <f>160000000/700000000</f>
        <v>0.22857142857142856</v>
      </c>
      <c r="AN24" s="416" t="s">
        <v>221</v>
      </c>
      <c r="AU24" s="174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74"/>
      <c r="BI24" s="174"/>
      <c r="BJ24" s="174"/>
    </row>
    <row r="25" spans="1:63" ht="45.75" thickBot="1" x14ac:dyDescent="0.3">
      <c r="A25" s="678" t="s">
        <v>208</v>
      </c>
      <c r="B25" s="316" t="s">
        <v>142</v>
      </c>
      <c r="C25" s="243">
        <v>18</v>
      </c>
      <c r="D25" s="339" t="s">
        <v>163</v>
      </c>
      <c r="E25" s="340"/>
      <c r="F25" s="217"/>
      <c r="G25" s="217"/>
      <c r="H25" s="263" t="s">
        <v>162</v>
      </c>
      <c r="I25" s="263" t="s">
        <v>164</v>
      </c>
      <c r="J25" s="263"/>
      <c r="K25" s="264"/>
      <c r="L25" s="265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7" t="e">
        <f t="shared" ref="Y25" si="8">LOOKUP(1000000000,M25:X25)</f>
        <v>#N/A</v>
      </c>
      <c r="Z25" s="263"/>
      <c r="AA25" s="266" t="e">
        <f>+IF(SLOPE(M25:X25,$M$4:$X$4)&gt;0,"Al alza",IF(SLOPE(M25:X25,$M$4:$X$4)&lt;0,"A la baja","Sin cambio"))</f>
        <v>#DIV/0!</v>
      </c>
      <c r="AB25" s="209" t="s">
        <v>13</v>
      </c>
      <c r="AC25" s="268">
        <v>9.6100000000000005E-3</v>
      </c>
      <c r="AD25" s="269" t="str">
        <f>IF($K$25="Sube",IF(ISERROR(Y25/$L$25)=TRUE,"",IF(Y25&gt;$L$25,AC25,Y25/$L$25*AC25)),IF(ISERROR($L$25/Y25)=TRUE,"",IF($L$25&lt;Y25,$L$25/Y25*AC25,AC25)))</f>
        <v/>
      </c>
      <c r="AE25" s="296" t="s">
        <v>175</v>
      </c>
      <c r="AF25" s="308">
        <v>0.67</v>
      </c>
      <c r="AG25" s="301">
        <v>1</v>
      </c>
      <c r="AH25" s="270" t="s">
        <v>174</v>
      </c>
      <c r="AI25" s="229">
        <v>0.83330000000000004</v>
      </c>
      <c r="AJ25" s="412" t="s">
        <v>174</v>
      </c>
      <c r="AK25" s="432"/>
      <c r="AL25" s="433">
        <v>0.83330000000000004</v>
      </c>
      <c r="AM25" s="434">
        <v>0.9</v>
      </c>
      <c r="AN25" s="370" t="s">
        <v>225</v>
      </c>
      <c r="AO25" s="170">
        <v>4094</v>
      </c>
      <c r="AP25" s="170">
        <v>453</v>
      </c>
      <c r="AT25" s="408">
        <v>290739021</v>
      </c>
      <c r="AU25" s="409">
        <v>8128583746</v>
      </c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74"/>
      <c r="BI25" s="174"/>
      <c r="BJ25" s="174"/>
    </row>
    <row r="26" spans="1:63" ht="45.75" thickBot="1" x14ac:dyDescent="0.3">
      <c r="A26" s="677"/>
      <c r="B26" s="318" t="s">
        <v>77</v>
      </c>
      <c r="C26" s="245">
        <v>19</v>
      </c>
      <c r="D26" s="271" t="s">
        <v>131</v>
      </c>
      <c r="E26" s="272" t="s">
        <v>114</v>
      </c>
      <c r="F26" s="273"/>
      <c r="G26" s="273"/>
      <c r="H26" s="272" t="s">
        <v>132</v>
      </c>
      <c r="I26" s="272" t="s">
        <v>133</v>
      </c>
      <c r="J26" s="287" t="s">
        <v>147</v>
      </c>
      <c r="K26" s="276" t="s">
        <v>141</v>
      </c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9" t="e">
        <f>LOOKUP(1000000000,M26:X26)</f>
        <v>#N/A</v>
      </c>
      <c r="Z26" s="275"/>
      <c r="AA26" s="278" t="e">
        <f>+IF(SLOPE(M26:X26,$M$4:$X$4)&gt;0,"Al alza",IF(SLOPE(M26:X26,$M$4:$X$4)&lt;0,"A la baja","Sin cambio"))</f>
        <v>#DIV/0!</v>
      </c>
      <c r="AB26" s="230" t="s">
        <v>13</v>
      </c>
      <c r="AC26" s="280">
        <v>9.6100000000000005E-3</v>
      </c>
      <c r="AD26" s="281" t="str">
        <f>IF($K$26="Sube",IF(ISERROR(Y26/$L$26)=TRUE,"",IF(Y26&gt;$L$26,AC26,Y26/$L$26*AC26)),IF(ISERROR($L$26/Y26)=TRUE,"",IF($L$26&lt;Y26,$L$26/Y26*AC26,AC26)))</f>
        <v/>
      </c>
      <c r="AE26" s="299" t="s">
        <v>107</v>
      </c>
      <c r="AF26" s="313">
        <v>0.11064973131411822</v>
      </c>
      <c r="AG26" s="332">
        <v>0.05</v>
      </c>
      <c r="AH26" s="333" t="s">
        <v>174</v>
      </c>
      <c r="AI26" s="365">
        <f>43/440</f>
        <v>9.7727272727272732E-2</v>
      </c>
      <c r="AJ26" s="413" t="s">
        <v>174</v>
      </c>
      <c r="AK26" s="373"/>
      <c r="AL26" s="415">
        <f>+'[2]Tablero Estratégico'!$AK$26</f>
        <v>0.47601476014760147</v>
      </c>
      <c r="AM26" s="374">
        <f>1-(170/186)</f>
        <v>8.6021505376344121E-2</v>
      </c>
      <c r="AN26" s="370" t="s">
        <v>225</v>
      </c>
      <c r="AU26" s="174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74"/>
      <c r="BI26" s="174"/>
      <c r="BJ26" s="174"/>
    </row>
    <row r="27" spans="1:63" ht="15.75" thickBot="1" x14ac:dyDescent="0.3">
      <c r="AB27" s="335">
        <f>COUNTIF(AB5:AB25,"Si")</f>
        <v>16</v>
      </c>
      <c r="AC27" s="337">
        <f>COUNT(Y5:Y25)</f>
        <v>0</v>
      </c>
      <c r="AD27" s="338">
        <f>AC27/AB27</f>
        <v>0</v>
      </c>
      <c r="AE27" s="180"/>
      <c r="AG27" s="173"/>
      <c r="AH27" s="173"/>
      <c r="AI27" s="173"/>
      <c r="AJ27" s="173"/>
      <c r="AK27" s="173"/>
      <c r="AL27" s="173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</row>
    <row r="28" spans="1:63" ht="32.25" customHeight="1" x14ac:dyDescent="0.25">
      <c r="AB28" s="173"/>
      <c r="AC28" s="171"/>
      <c r="AD28" s="171"/>
      <c r="AE28" s="171"/>
      <c r="AG28" s="173"/>
      <c r="AH28" s="173"/>
      <c r="AI28" s="173"/>
      <c r="AJ28" s="173"/>
      <c r="AK28" s="173"/>
      <c r="AL28" s="173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</row>
    <row r="29" spans="1:63" ht="24.75" hidden="1" customHeight="1" x14ac:dyDescent="0.25">
      <c r="H29" s="170" t="s">
        <v>217</v>
      </c>
      <c r="I29" s="170" t="s">
        <v>218</v>
      </c>
      <c r="AB29" s="210" t="s">
        <v>18</v>
      </c>
      <c r="AC29" s="211" t="s">
        <v>19</v>
      </c>
      <c r="AD29" s="171"/>
      <c r="AE29" s="171"/>
      <c r="AG29" s="173"/>
      <c r="AH29" s="173"/>
      <c r="AM29" s="170" t="s">
        <v>217</v>
      </c>
      <c r="AN29" s="170" t="s">
        <v>218</v>
      </c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</row>
    <row r="30" spans="1:63" hidden="1" x14ac:dyDescent="0.25">
      <c r="D30" s="170" t="s">
        <v>215</v>
      </c>
      <c r="H30" s="350">
        <v>2535256775.75</v>
      </c>
      <c r="I30" s="350">
        <v>4700915130.0900002</v>
      </c>
      <c r="AB30" s="212" t="s">
        <v>20</v>
      </c>
      <c r="AC30" s="213" t="s">
        <v>21</v>
      </c>
      <c r="AD30" s="171"/>
      <c r="AE30" s="351">
        <f>+I30-1151043807-45625308-60043704-2342966-482697505</f>
        <v>2959161840.0900002</v>
      </c>
      <c r="AF30" s="350">
        <f>+H30/AE30</f>
        <v>0.85674826614852961</v>
      </c>
      <c r="AG30" s="173"/>
      <c r="AH30" s="173"/>
      <c r="AI30" s="170" t="s">
        <v>215</v>
      </c>
      <c r="AM30" s="350">
        <v>2535256775.75</v>
      </c>
      <c r="AN30" s="350">
        <v>4700915130.0900002</v>
      </c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</row>
    <row r="31" spans="1:63" ht="30" hidden="1" x14ac:dyDescent="0.25">
      <c r="D31" s="174" t="s">
        <v>216</v>
      </c>
      <c r="H31" s="350">
        <v>2631425823.75</v>
      </c>
      <c r="I31" s="350">
        <v>3249900862</v>
      </c>
      <c r="AB31" s="214" t="s">
        <v>22</v>
      </c>
      <c r="AC31" s="215" t="s">
        <v>23</v>
      </c>
      <c r="AD31" s="171"/>
      <c r="AE31" s="351">
        <f>+I31</f>
        <v>3249900862</v>
      </c>
      <c r="AF31" s="350">
        <f>+H31/AE31</f>
        <v>0.80969418314213182</v>
      </c>
      <c r="AG31" s="173"/>
      <c r="AH31" s="173"/>
      <c r="AI31" s="174" t="s">
        <v>216</v>
      </c>
      <c r="AJ31" s="174"/>
      <c r="AK31" s="174"/>
      <c r="AL31" s="174"/>
      <c r="AM31" s="350">
        <v>2631425823.75</v>
      </c>
      <c r="AN31" s="350">
        <v>3249900862</v>
      </c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</row>
    <row r="32" spans="1:63" hidden="1" x14ac:dyDescent="0.25">
      <c r="AN32" s="170"/>
    </row>
    <row r="33" spans="4:40" hidden="1" x14ac:dyDescent="0.25">
      <c r="D33" s="170" t="s">
        <v>219</v>
      </c>
      <c r="H33" s="350">
        <f>+H31-H30</f>
        <v>96169048</v>
      </c>
      <c r="I33" s="352">
        <f>+I30-I31</f>
        <v>1451014268.0900002</v>
      </c>
      <c r="AE33" s="350">
        <f>+AE31-AE30</f>
        <v>290739021.90999985</v>
      </c>
      <c r="AI33" s="170" t="s">
        <v>219</v>
      </c>
      <c r="AM33" s="350">
        <v>-96169048</v>
      </c>
      <c r="AN33" s="352">
        <v>1451014268.0900002</v>
      </c>
    </row>
    <row r="34" spans="4:40" hidden="1" x14ac:dyDescent="0.25">
      <c r="H34" s="356">
        <f>+H33/H30</f>
        <v>3.7932665803269768E-2</v>
      </c>
      <c r="I34" s="352"/>
      <c r="AE34" s="356">
        <f>+AE33/AE30</f>
        <v>9.8250463347809763E-2</v>
      </c>
      <c r="AM34" s="352"/>
      <c r="AN34" s="352"/>
    </row>
    <row r="35" spans="4:40" x14ac:dyDescent="0.25">
      <c r="H35" s="352"/>
      <c r="I35" s="352"/>
      <c r="AN35" s="170"/>
    </row>
    <row r="36" spans="4:40" x14ac:dyDescent="0.25">
      <c r="H36" s="353"/>
      <c r="I36" s="353"/>
      <c r="AM36" s="353"/>
      <c r="AN36" s="353"/>
    </row>
    <row r="37" spans="4:40" ht="38.25" customHeight="1" x14ac:dyDescent="0.25">
      <c r="H37" s="352"/>
      <c r="I37" s="352"/>
    </row>
  </sheetData>
  <mergeCells count="48">
    <mergeCell ref="A1:AN2"/>
    <mergeCell ref="AN12:AN13"/>
    <mergeCell ref="AM12:AM13"/>
    <mergeCell ref="AH12:AH13"/>
    <mergeCell ref="AG12:AG13"/>
    <mergeCell ref="AF12:AF13"/>
    <mergeCell ref="AE12:AE13"/>
    <mergeCell ref="I12:I13"/>
    <mergeCell ref="H12:H13"/>
    <mergeCell ref="B12:B16"/>
    <mergeCell ref="C4:D4"/>
    <mergeCell ref="B8:B9"/>
    <mergeCell ref="B5:B7"/>
    <mergeCell ref="A6:A9"/>
    <mergeCell ref="C12:C13"/>
    <mergeCell ref="B18:B19"/>
    <mergeCell ref="D12:D13"/>
    <mergeCell ref="AH21:AH22"/>
    <mergeCell ref="I14:I15"/>
    <mergeCell ref="H14:H15"/>
    <mergeCell ref="D14:D15"/>
    <mergeCell ref="AE21:AE22"/>
    <mergeCell ref="C14:C15"/>
    <mergeCell ref="AG14:AG15"/>
    <mergeCell ref="AF14:AF15"/>
    <mergeCell ref="AE14:AE15"/>
    <mergeCell ref="AM21:AM22"/>
    <mergeCell ref="B21:B22"/>
    <mergeCell ref="A25:A26"/>
    <mergeCell ref="AN14:AN15"/>
    <mergeCell ref="AM14:AM15"/>
    <mergeCell ref="AH14:AH15"/>
    <mergeCell ref="A20:A21"/>
    <mergeCell ref="A23:A24"/>
    <mergeCell ref="A18:A19"/>
    <mergeCell ref="AN21:AN22"/>
    <mergeCell ref="H21:H22"/>
    <mergeCell ref="D21:D22"/>
    <mergeCell ref="C21:C22"/>
    <mergeCell ref="I21:I22"/>
    <mergeCell ref="AG21:AG22"/>
    <mergeCell ref="AF21:AF22"/>
    <mergeCell ref="AI21:AI22"/>
    <mergeCell ref="AI12:AI13"/>
    <mergeCell ref="AI14:AI15"/>
    <mergeCell ref="AJ12:AJ13"/>
    <mergeCell ref="AJ14:AJ15"/>
    <mergeCell ref="AJ21:AJ22"/>
  </mergeCells>
  <dataValidations disablePrompts="1" count="2">
    <dataValidation type="list" allowBlank="1" showInputMessage="1" showErrorMessage="1" sqref="K5:K26">
      <formula1>"Sube,Baja,Tendencia Media"</formula1>
    </dataValidation>
    <dataValidation type="list" allowBlank="1" showInputMessage="1" showErrorMessage="1" sqref="AB5:AB26">
      <formula1>"Si,No"</formula1>
    </dataValidation>
  </dataValidations>
  <pageMargins left="0" right="0" top="0" bottom="0" header="0" footer="0"/>
  <pageSetup paperSize="5" scale="40" orientation="landscape" verticalDpi="4294967292" r:id="rId1"/>
  <ignoredErrors>
    <ignoredError sqref="Y15 Y12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Estratégico'!M23:X23</xm:f>
              <xm:sqref>Z23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Estratégico'!M25:X25</xm:f>
              <xm:sqref>Z25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Estratégico'!M17:X17</xm:f>
              <xm:sqref>Z17</xm:sqref>
            </x14:sparkline>
            <x14:sparkline>
              <xm:f>'Tablero Estratégico'!M26:X26</xm:f>
              <xm:sqref>Z26</xm:sqref>
            </x14:sparkline>
            <x14:sparkline>
              <xm:f>'Tablero Estratégico'!M18:X18</xm:f>
              <xm:sqref>Z18</xm:sqref>
            </x14:sparkline>
            <x14:sparkline>
              <xm:f>'Tablero Estratégico'!M19:X19</xm:f>
              <xm:sqref>Z19</xm:sqref>
            </x14:sparkline>
            <x14:sparkline>
              <xm:f>'Tablero Estratégico'!M20:X20</xm:f>
              <xm:sqref>Z20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Estratégico'!M5:X5</xm:f>
              <xm:sqref>Z5</xm:sqref>
            </x14:sparkline>
            <x14:sparkline>
              <xm:f>'Tablero Estratégico'!M7:X7</xm:f>
              <xm:sqref>Z7</xm:sqref>
            </x14:sparkline>
            <x14:sparkline>
              <xm:f>'Tablero Estratégico'!M10:X10</xm:f>
              <xm:sqref>Z10</xm:sqref>
            </x14:sparkline>
            <x14:sparkline>
              <xm:f>'Tablero Estratégico'!M24:X24</xm:f>
              <xm:sqref>Z24</xm:sqref>
            </x14:sparkline>
            <x14:sparkline>
              <xm:f>'Tablero Estratégico'!M8:X8</xm:f>
              <xm:sqref>Z8</xm:sqref>
            </x14:sparkline>
            <x14:sparkline>
              <xm:f>'Tablero Estratégico'!M9:X9</xm:f>
              <xm:sqref>Z9</xm:sqref>
            </x14:sparkline>
            <x14:sparkline>
              <xm:f>'Tablero Estratégico'!M12:X12</xm:f>
              <xm:sqref>Z12</xm:sqref>
            </x14:sparkline>
            <x14:sparkline>
              <xm:f>'Tablero Estratégico'!M13:X13</xm:f>
              <xm:sqref>Z13</xm:sqref>
            </x14:sparkline>
            <x14:sparkline>
              <xm:f>'Tablero Estratégico'!M14:X14</xm:f>
              <xm:sqref>Z14</xm:sqref>
            </x14:sparkline>
            <x14:sparkline>
              <xm:f>'Tablero Estratégico'!M15:X15</xm:f>
              <xm:sqref>Z15</xm:sqref>
            </x14:sparkline>
            <x14:sparkline>
              <xm:f>'Tablero Estratégico'!M16:X16</xm:f>
              <xm:sqref>Z16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Estratégico'!M6:X6</xm:f>
              <xm:sqref>Z6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Estratégico'!M11:X11</xm:f>
              <xm:sqref>Z11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Estratégico'!M21:X21</xm:f>
              <xm:sqref>Z21</xm:sqref>
            </x14:sparkline>
            <x14:sparkline>
              <xm:f>'Tablero Estratégico'!M22:X22</xm:f>
              <xm:sqref>Z22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9"/>
  <sheetViews>
    <sheetView zoomScale="80" zoomScaleNormal="80" workbookViewId="0">
      <pane xSplit="2" ySplit="7" topLeftCell="C51" activePane="bottomRight" state="frozen"/>
      <selection activeCell="H17" sqref="H17"/>
      <selection pane="topRight" activeCell="H17" sqref="H17"/>
      <selection pane="bottomLeft" activeCell="H17" sqref="H17"/>
      <selection pane="bottomRight" activeCell="A62" sqref="A62"/>
    </sheetView>
  </sheetViews>
  <sheetFormatPr baseColWidth="10" defaultColWidth="11.42578125" defaultRowHeight="15" outlineLevelCol="1" x14ac:dyDescent="0.25"/>
  <cols>
    <col min="1" max="1" width="21.140625" customWidth="1"/>
    <col min="2" max="2" width="16.42578125" hidden="1" customWidth="1"/>
    <col min="3" max="3" width="30.140625" bestFit="1" customWidth="1"/>
    <col min="4" max="4" width="17.42578125" style="77" customWidth="1"/>
    <col min="5" max="6" width="4.42578125" hidden="1" customWidth="1"/>
    <col min="7" max="9" width="35.140625" customWidth="1"/>
    <col min="10" max="10" width="16" customWidth="1"/>
    <col min="11" max="11" width="9.42578125" hidden="1" customWidth="1"/>
    <col min="12" max="12" width="16.5703125" style="72" customWidth="1"/>
    <col min="13" max="24" width="7.7109375" hidden="1" customWidth="1" outlineLevel="1"/>
    <col min="25" max="25" width="11.42578125" style="67" hidden="1" customWidth="1"/>
    <col min="26" max="26" width="31.42578125" customWidth="1"/>
    <col min="27" max="27" width="11.42578125" hidden="1" customWidth="1"/>
    <col min="28" max="28" width="8.85546875" customWidth="1"/>
    <col min="29" max="29" width="9.7109375" customWidth="1"/>
    <col min="30" max="30" width="14.140625" customWidth="1"/>
    <col min="31" max="32" width="16.28515625" customWidth="1"/>
    <col min="33" max="33" width="14.42578125" hidden="1" customWidth="1"/>
    <col min="34" max="34" width="13.140625" hidden="1" customWidth="1"/>
    <col min="35" max="35" width="27.140625" bestFit="1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 x14ac:dyDescent="0.25">
      <c r="A1" s="717" t="s">
        <v>47</v>
      </c>
      <c r="B1" s="717"/>
      <c r="C1" s="718"/>
      <c r="D1" s="719" t="s">
        <v>56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1"/>
      <c r="AC1" s="733" t="s">
        <v>31</v>
      </c>
      <c r="AD1" s="733"/>
    </row>
    <row r="2" spans="1:58" ht="15" customHeight="1" x14ac:dyDescent="0.25">
      <c r="A2" s="718"/>
      <c r="B2" s="718"/>
      <c r="C2" s="718"/>
      <c r="D2" s="722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  <c r="AC2" s="733"/>
      <c r="AD2" s="733"/>
    </row>
    <row r="3" spans="1:58" ht="15" customHeight="1" x14ac:dyDescent="0.25">
      <c r="A3" s="718"/>
      <c r="B3" s="718"/>
      <c r="C3" s="718"/>
      <c r="D3" s="725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7"/>
      <c r="AC3" s="733"/>
      <c r="AD3" s="733"/>
    </row>
    <row r="4" spans="1:58" ht="15" customHeight="1" x14ac:dyDescent="0.25">
      <c r="A4" s="718"/>
      <c r="B4" s="718"/>
      <c r="C4" s="718"/>
      <c r="D4" s="734" t="s">
        <v>44</v>
      </c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6"/>
      <c r="AC4" s="740" t="s">
        <v>32</v>
      </c>
      <c r="AD4" s="740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5">
      <c r="A5" s="718"/>
      <c r="B5" s="718"/>
      <c r="C5" s="718"/>
      <c r="D5" s="737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9"/>
      <c r="AC5" s="741">
        <v>42731</v>
      </c>
      <c r="AD5" s="741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ht="15.75" thickBot="1" x14ac:dyDescent="0.3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45.75" thickBot="1" x14ac:dyDescent="0.3">
      <c r="A7" s="233" t="s">
        <v>1</v>
      </c>
      <c r="B7" s="560"/>
      <c r="C7" s="560" t="s">
        <v>2</v>
      </c>
      <c r="D7" s="560" t="s">
        <v>50</v>
      </c>
      <c r="E7" s="560" t="s">
        <v>57</v>
      </c>
      <c r="F7" s="560" t="s">
        <v>58</v>
      </c>
      <c r="G7" s="560" t="s">
        <v>3</v>
      </c>
      <c r="H7" s="560" t="s">
        <v>62</v>
      </c>
      <c r="I7" s="560" t="s">
        <v>232</v>
      </c>
      <c r="J7" s="560" t="s">
        <v>5</v>
      </c>
      <c r="K7" s="560" t="s">
        <v>6</v>
      </c>
      <c r="L7" s="560" t="s">
        <v>4</v>
      </c>
      <c r="M7" s="648">
        <v>42736</v>
      </c>
      <c r="N7" s="648">
        <v>42767</v>
      </c>
      <c r="O7" s="648">
        <v>42795</v>
      </c>
      <c r="P7" s="648">
        <v>42826</v>
      </c>
      <c r="Q7" s="648">
        <v>42856</v>
      </c>
      <c r="R7" s="648">
        <v>42887</v>
      </c>
      <c r="S7" s="648">
        <v>42917</v>
      </c>
      <c r="T7" s="648">
        <v>42948</v>
      </c>
      <c r="U7" s="648">
        <v>42979</v>
      </c>
      <c r="V7" s="648">
        <v>43009</v>
      </c>
      <c r="W7" s="648">
        <v>43040</v>
      </c>
      <c r="X7" s="648">
        <v>43070</v>
      </c>
      <c r="Y7" s="560" t="s">
        <v>10</v>
      </c>
      <c r="Z7" s="560" t="s">
        <v>54</v>
      </c>
      <c r="AA7" s="560" t="s">
        <v>60</v>
      </c>
      <c r="AB7" s="560" t="s">
        <v>9</v>
      </c>
      <c r="AC7" s="236" t="s">
        <v>11</v>
      </c>
      <c r="AD7" s="236" t="s">
        <v>12</v>
      </c>
      <c r="AE7" s="236" t="s">
        <v>55</v>
      </c>
      <c r="AF7" s="649" t="s">
        <v>233</v>
      </c>
      <c r="AG7" s="647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36.75" customHeight="1" x14ac:dyDescent="0.25">
      <c r="A8" s="742" t="s">
        <v>234</v>
      </c>
      <c r="B8" s="442">
        <v>1</v>
      </c>
      <c r="C8" s="443" t="s">
        <v>116</v>
      </c>
      <c r="D8" s="444" t="s">
        <v>112</v>
      </c>
      <c r="E8" s="445"/>
      <c r="F8" s="446"/>
      <c r="G8" s="443" t="s">
        <v>235</v>
      </c>
      <c r="H8" s="443" t="s">
        <v>236</v>
      </c>
      <c r="I8" s="497">
        <v>0.1111111111111111</v>
      </c>
      <c r="J8" s="498" t="s">
        <v>144</v>
      </c>
      <c r="K8" s="499" t="s">
        <v>115</v>
      </c>
      <c r="L8" s="565">
        <v>0.1111111111111111</v>
      </c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7" t="e">
        <f>LOOKUP(1000000000,M8:X8)</f>
        <v>#N/A</v>
      </c>
      <c r="Z8" s="568"/>
      <c r="AA8" s="566" t="e">
        <f t="shared" ref="AA8:AA27" si="0">+IF(SLOPE(M8:X8,$M$7:$X$7)&gt;0,"Al alza",IF(SLOPE(M8:X8,$M$7:$X$7)&lt;0,"A la baja","Sin cambio"))</f>
        <v>#DIV/0!</v>
      </c>
      <c r="AB8" s="569" t="s">
        <v>13</v>
      </c>
      <c r="AC8" s="595">
        <v>9.6100000000000005E-3</v>
      </c>
      <c r="AD8" s="571" t="str">
        <f>IF($K$8="Sube",IF(ISERROR(Y8/$L$8)=TRUE,"",IF(Y8&gt;$L$8,AC8,Y8/$L$8*AC8)),IF(ISERROR($L$8/Y8)=TRUE,"",IF($L$8&lt;Y8,$L$8/Y8*AC8,AC8)))</f>
        <v/>
      </c>
      <c r="AE8" s="572" t="str">
        <f>IF($K$8="Sube",IF(ISERROR(Y8/$L$8)=TRUE,"",IF(Y8&gt;=$L$8,1,0)),IF(ISERROR($L$8/Y8)=TRUE,"",IF($L$8&lt;Y8,0,1)))</f>
        <v/>
      </c>
      <c r="AF8" s="655"/>
      <c r="AG8" s="463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x14ac:dyDescent="0.25">
      <c r="A9" s="715"/>
      <c r="B9" s="447">
        <v>2</v>
      </c>
      <c r="C9" s="448" t="s">
        <v>237</v>
      </c>
      <c r="D9" s="449" t="s">
        <v>112</v>
      </c>
      <c r="E9" s="450"/>
      <c r="F9" s="451"/>
      <c r="G9" s="448" t="s">
        <v>238</v>
      </c>
      <c r="H9" s="448" t="s">
        <v>118</v>
      </c>
      <c r="I9" s="452" t="s">
        <v>316</v>
      </c>
      <c r="J9" s="500" t="s">
        <v>144</v>
      </c>
      <c r="K9" s="501"/>
      <c r="L9" s="596">
        <f>+(9.9925/9.9204)-1</f>
        <v>7.2678521027376153E-3</v>
      </c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8" t="e">
        <f>LOOKUP(1000000000,M9:X9)</f>
        <v>#N/A</v>
      </c>
      <c r="Z9" s="599"/>
      <c r="AA9" s="597" t="e">
        <f t="shared" si="0"/>
        <v>#DIV/0!</v>
      </c>
      <c r="AB9" s="507" t="s">
        <v>13</v>
      </c>
      <c r="AC9" s="600">
        <v>9.6100000000000005E-3</v>
      </c>
      <c r="AD9" s="601" t="str">
        <f>IF($K$9="Sube",IF(ISERROR(Y9/$L$9)=TRUE,"",IF(Y9&gt;$L$9,AC9,Y9/$L$9*AC9)),IF(ISERROR($L$9/Y9)=TRUE,"",IF($L$9&lt;Y9,$L$9/Y9*AC9,AC9)))</f>
        <v/>
      </c>
      <c r="AE9" s="602" t="str">
        <f>IF($K$9="Sube",IF(ISERROR(Y9/$L$9)=TRUE,"",IF(Y9&gt;=$L$9,1,0)),IF(ISERROR($L$9/Y9)=TRUE,"",IF($L$9&lt;Y9,0,1)))</f>
        <v/>
      </c>
      <c r="AF9" s="656"/>
      <c r="AG9" s="650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25.5" x14ac:dyDescent="0.25">
      <c r="A10" s="715"/>
      <c r="B10" s="447">
        <v>3</v>
      </c>
      <c r="C10" s="448" t="s">
        <v>117</v>
      </c>
      <c r="D10" s="449" t="s">
        <v>112</v>
      </c>
      <c r="E10" s="450"/>
      <c r="F10" s="451"/>
      <c r="G10" s="448" t="s">
        <v>239</v>
      </c>
      <c r="H10" s="448" t="s">
        <v>119</v>
      </c>
      <c r="I10" s="657" t="s">
        <v>240</v>
      </c>
      <c r="J10" s="502" t="s">
        <v>108</v>
      </c>
      <c r="K10" s="501"/>
      <c r="L10" s="591" t="s">
        <v>356</v>
      </c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8" t="e">
        <f t="shared" ref="Y10:Y47" si="1">LOOKUP(1000000000,M10:X10)</f>
        <v>#N/A</v>
      </c>
      <c r="Z10" s="599"/>
      <c r="AA10" s="597" t="e">
        <f t="shared" si="0"/>
        <v>#DIV/0!</v>
      </c>
      <c r="AB10" s="507" t="s">
        <v>13</v>
      </c>
      <c r="AC10" s="600">
        <v>9.6100000000000005E-3</v>
      </c>
      <c r="AD10" s="601" t="str">
        <f>IF($K$10="Sube",IF(ISERROR(Y10/$L$10)=TRUE,"",IF(Y10&gt;$L$10,AC10,Y10/$L$10*AC10)),IF(ISERROR($L$10/Y10)=TRUE,"",IF($L$10&lt;Y10,$L$10/Y10*AC10,AC10)))</f>
        <v/>
      </c>
      <c r="AE10" s="602" t="str">
        <f>IF($K$10="Sube",IF(ISERROR(Y10/$L$10)=TRUE,"",IF(Y10&gt;=$L$10,1,0)),IF(ISERROR($L$10/Y10)=TRUE,"",IF($L$10&lt;Y10,0,1)))</f>
        <v/>
      </c>
      <c r="AF10" s="656"/>
      <c r="AG10" s="650"/>
      <c r="AH10" s="138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t="25.5" x14ac:dyDescent="0.25">
      <c r="A11" s="715"/>
      <c r="B11" s="447"/>
      <c r="C11" s="448" t="s">
        <v>354</v>
      </c>
      <c r="D11" s="449" t="s">
        <v>121</v>
      </c>
      <c r="E11" s="452"/>
      <c r="F11" s="453"/>
      <c r="G11" s="448" t="s">
        <v>241</v>
      </c>
      <c r="H11" s="448" t="s">
        <v>242</v>
      </c>
      <c r="I11" s="3">
        <v>0.94169999999999998</v>
      </c>
      <c r="J11" s="502" t="s">
        <v>243</v>
      </c>
      <c r="K11" s="501"/>
      <c r="L11" s="591">
        <v>1</v>
      </c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8" t="e">
        <f t="shared" si="1"/>
        <v>#N/A</v>
      </c>
      <c r="Z11" s="599"/>
      <c r="AA11" s="597" t="e">
        <f t="shared" si="0"/>
        <v>#DIV/0!</v>
      </c>
      <c r="AB11" s="507" t="s">
        <v>13</v>
      </c>
      <c r="AC11" s="600">
        <v>9.6100000000000005E-3</v>
      </c>
      <c r="AD11" s="601" t="str">
        <f>IF($K$11="Sube",IF(ISERROR(Y11/$L$11)=TRUE,"",IF(Y11&gt;$L$11,AC11,Y11/$L$11*AC11)),IF(ISERROR($L$11/Y11)=TRUE,"",IF($L$11&lt;Y11,$L$11/Y11*AC11,AC11)))</f>
        <v/>
      </c>
      <c r="AE11" s="602" t="str">
        <f>IF($K$11="Sube",IF(ISERROR(Y11/$L$11)=TRUE,"",IF(Y11&gt;=$L$11,1,0)),IF(ISERROR($L$11/Y11)=TRUE,"",IF($L$11&lt;Y11,0,1)))</f>
        <v/>
      </c>
      <c r="AF11" s="656"/>
      <c r="AG11" s="650"/>
      <c r="AH11" s="138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s="454" customFormat="1" ht="51.75" thickBot="1" x14ac:dyDescent="0.3">
      <c r="A12" s="716"/>
      <c r="B12" s="457"/>
      <c r="C12" s="153" t="s">
        <v>244</v>
      </c>
      <c r="D12" s="458" t="s">
        <v>121</v>
      </c>
      <c r="E12" s="153"/>
      <c r="F12" s="153"/>
      <c r="G12" s="459" t="s">
        <v>245</v>
      </c>
      <c r="H12" s="459" t="s">
        <v>246</v>
      </c>
      <c r="I12" s="145">
        <v>0.97</v>
      </c>
      <c r="J12" s="603" t="s">
        <v>247</v>
      </c>
      <c r="K12" s="580"/>
      <c r="L12" s="581">
        <v>0.98</v>
      </c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5" t="e">
        <f t="shared" si="1"/>
        <v>#N/A</v>
      </c>
      <c r="Z12" s="606"/>
      <c r="AA12" s="604" t="e">
        <f t="shared" si="0"/>
        <v>#DIV/0!</v>
      </c>
      <c r="AB12" s="585" t="s">
        <v>13</v>
      </c>
      <c r="AC12" s="607">
        <v>9.6100000000000005E-3</v>
      </c>
      <c r="AD12" s="608" t="str">
        <f>IF($K$12="Sube",IF(ISERROR(Y12/$L$12)=TRUE,"",IF(Y12&gt;$L$12,AC12,Y12/$L$12*AC12)),IF(ISERROR($L$12/Y12)=TRUE,"",IF($L$12&lt;Y12,$L$12/Y12*AC12,AC12)))</f>
        <v/>
      </c>
      <c r="AE12" s="609" t="str">
        <f>IF($K$12="Sube",IF(ISERROR(Y12/$L$12)=TRUE,"",IF(Y12&gt;=$L$12,1,0)),IF(ISERROR($L$12/Y12)=TRUE,"",IF($L$12&lt;Y12,0,1)))</f>
        <v/>
      </c>
      <c r="AF12" s="658"/>
      <c r="AG12" s="651"/>
      <c r="AH12" s="460"/>
      <c r="AP12" s="455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5"/>
      <c r="BD12" s="455"/>
      <c r="BE12" s="455"/>
    </row>
    <row r="13" spans="1:58" ht="39" thickBot="1" x14ac:dyDescent="0.3">
      <c r="A13" s="746" t="s">
        <v>72</v>
      </c>
      <c r="B13" s="447">
        <v>5</v>
      </c>
      <c r="C13" s="449" t="s">
        <v>318</v>
      </c>
      <c r="D13" s="449" t="s">
        <v>113</v>
      </c>
      <c r="E13" s="61"/>
      <c r="F13" s="61"/>
      <c r="G13" s="449" t="s">
        <v>319</v>
      </c>
      <c r="H13" s="449" t="s">
        <v>320</v>
      </c>
      <c r="I13" s="503" t="s">
        <v>317</v>
      </c>
      <c r="J13" s="502" t="s">
        <v>143</v>
      </c>
      <c r="K13" s="501" t="s">
        <v>100</v>
      </c>
      <c r="L13" s="591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8" t="e">
        <f t="shared" si="1"/>
        <v>#N/A</v>
      </c>
      <c r="Z13" s="599"/>
      <c r="AA13" s="597" t="e">
        <f t="shared" si="0"/>
        <v>#DIV/0!</v>
      </c>
      <c r="AB13" s="507" t="s">
        <v>13</v>
      </c>
      <c r="AC13" s="610">
        <v>9.6100000000000005E-3</v>
      </c>
      <c r="AD13" s="601" t="str">
        <f>IF($K$13="Sube",IF(ISERROR(Y13/$L$13)=TRUE,"",IF(Y13&gt;$L$13,AC13,Y13/$L$13*AC13)),IF(ISERROR($L$13/Y13)=TRUE,"",IF($L$13&lt;Y13,$L$13/Y13*AC13,AC13)))</f>
        <v/>
      </c>
      <c r="AE13" s="602" t="str">
        <f>IF($K$13="Sube",IF(ISERROR(Y13/$L$13)=TRUE,"",IF(Y13&gt;=$L$13,1,0)),IF(ISERROR($L$13/Y13)=TRUE,"",IF($L$13&lt;Y13,0,1)))</f>
        <v/>
      </c>
      <c r="AF13" s="656"/>
      <c r="AG13" s="650"/>
      <c r="AH13" s="138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t="66.75" customHeight="1" thickBot="1" x14ac:dyDescent="0.3">
      <c r="A14" s="747"/>
      <c r="B14" s="447">
        <v>6</v>
      </c>
      <c r="C14" s="449" t="s">
        <v>248</v>
      </c>
      <c r="D14" s="449" t="s">
        <v>121</v>
      </c>
      <c r="E14" s="61"/>
      <c r="F14" s="61"/>
      <c r="G14" s="449" t="s">
        <v>249</v>
      </c>
      <c r="H14" s="449" t="s">
        <v>250</v>
      </c>
      <c r="I14" s="503" t="s">
        <v>317</v>
      </c>
      <c r="J14" s="502" t="s">
        <v>143</v>
      </c>
      <c r="K14" s="501" t="s">
        <v>100</v>
      </c>
      <c r="L14" s="591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8" t="e">
        <f t="shared" si="1"/>
        <v>#N/A</v>
      </c>
      <c r="Z14" s="599"/>
      <c r="AA14" s="597" t="e">
        <f t="shared" si="0"/>
        <v>#DIV/0!</v>
      </c>
      <c r="AB14" s="507" t="s">
        <v>13</v>
      </c>
      <c r="AC14" s="610">
        <v>9.6100000000000005E-3</v>
      </c>
      <c r="AD14" s="601" t="str">
        <f>IF($K$14="Sube",IF(ISERROR(Y14/$L$14)=TRUE,"",IF(Y14&gt;$L$14,AC14,Y14/$L$14*AC14)),IF(ISERROR($L$14/Y14)=TRUE,"",IF($L$14&lt;Y14,$L$14/Y14*AC14,AC14)))</f>
        <v/>
      </c>
      <c r="AE14" s="602" t="str">
        <f>IF($K$14="Sube",IF(ISERROR(Y14/$L$14)=TRUE,"",IF(Y14&gt;=$L$14,1,0)),IF(ISERROR($L$14/Y14)=TRUE,"",IF($L$14&lt;Y14,0,1)))</f>
        <v/>
      </c>
      <c r="AF14" s="656"/>
      <c r="AG14" s="650"/>
      <c r="AH14" s="138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t="66.75" customHeight="1" thickBot="1" x14ac:dyDescent="0.3">
      <c r="A15" s="747"/>
      <c r="B15" s="447"/>
      <c r="C15" s="469" t="s">
        <v>321</v>
      </c>
      <c r="D15" s="469" t="s">
        <v>113</v>
      </c>
      <c r="E15" s="154"/>
      <c r="F15" s="154"/>
      <c r="G15" s="469" t="s">
        <v>322</v>
      </c>
      <c r="H15" s="469" t="s">
        <v>323</v>
      </c>
      <c r="I15" s="503" t="s">
        <v>317</v>
      </c>
      <c r="J15" s="502" t="s">
        <v>143</v>
      </c>
      <c r="K15" s="611"/>
      <c r="L15" s="59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3"/>
      <c r="Z15" s="614"/>
      <c r="AA15" s="612"/>
      <c r="AB15" s="615"/>
      <c r="AC15" s="616"/>
      <c r="AD15" s="617"/>
      <c r="AE15" s="618"/>
      <c r="AF15" s="659"/>
      <c r="AG15" s="652"/>
      <c r="AH15" s="479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t="26.25" thickBot="1" x14ac:dyDescent="0.3">
      <c r="A16" s="748"/>
      <c r="B16" s="461">
        <v>7</v>
      </c>
      <c r="C16" s="458" t="s">
        <v>120</v>
      </c>
      <c r="D16" s="458" t="s">
        <v>112</v>
      </c>
      <c r="E16" s="150"/>
      <c r="F16" s="150"/>
      <c r="G16" s="458" t="s">
        <v>182</v>
      </c>
      <c r="H16" s="458" t="s">
        <v>152</v>
      </c>
      <c r="I16" s="514">
        <f>44099470/60000000</f>
        <v>0.73499116666666664</v>
      </c>
      <c r="J16" s="603" t="s">
        <v>146</v>
      </c>
      <c r="K16" s="580" t="s">
        <v>100</v>
      </c>
      <c r="L16" s="619">
        <v>0.8</v>
      </c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3" t="e">
        <f t="shared" si="1"/>
        <v>#N/A</v>
      </c>
      <c r="Z16" s="584"/>
      <c r="AA16" s="582" t="e">
        <f t="shared" si="0"/>
        <v>#DIV/0!</v>
      </c>
      <c r="AB16" s="585" t="s">
        <v>13</v>
      </c>
      <c r="AC16" s="586">
        <v>9.6100000000000005E-3</v>
      </c>
      <c r="AD16" s="587" t="str">
        <f>IF($K$16="Sube",IF(ISERROR(Y16/$L$16)=TRUE,"",IF(Y16&gt;$L$16,AC16,Y16/$L$16*AC16)),IF(ISERROR($L$16/Y16)=TRUE,"",IF($L$16&lt;Y16,$L$16/Y16*AC16,AC16)))</f>
        <v/>
      </c>
      <c r="AE16" s="588" t="str">
        <f>IF($K$16="Sube",IF(ISERROR(Y16/$L$16)=TRUE,"",IF(Y16&gt;=$L$16,1,0)),IF(ISERROR($L$16/Y16)=TRUE,"",IF($L$16&lt;Y16,0,1)))</f>
        <v/>
      </c>
      <c r="AF16" s="660"/>
      <c r="AG16" s="482"/>
      <c r="AH16" s="151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1:57" ht="25.5" x14ac:dyDescent="0.25">
      <c r="A17" s="743" t="s">
        <v>73</v>
      </c>
      <c r="B17" s="462">
        <v>8</v>
      </c>
      <c r="C17" s="444" t="s">
        <v>252</v>
      </c>
      <c r="D17" s="444" t="s">
        <v>121</v>
      </c>
      <c r="E17" s="463"/>
      <c r="F17" s="464"/>
      <c r="G17" s="444" t="s">
        <v>253</v>
      </c>
      <c r="H17" s="444" t="s">
        <v>254</v>
      </c>
      <c r="I17" s="505" t="s">
        <v>317</v>
      </c>
      <c r="J17" s="498" t="s">
        <v>143</v>
      </c>
      <c r="K17" s="499" t="s">
        <v>100</v>
      </c>
      <c r="L17" s="565">
        <v>1</v>
      </c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7" t="e">
        <f t="shared" si="1"/>
        <v>#N/A</v>
      </c>
      <c r="Z17" s="568"/>
      <c r="AA17" s="566" t="e">
        <f t="shared" si="0"/>
        <v>#DIV/0!</v>
      </c>
      <c r="AB17" s="569" t="s">
        <v>13</v>
      </c>
      <c r="AC17" s="570">
        <v>9.6100000000000005E-3</v>
      </c>
      <c r="AD17" s="571" t="str">
        <f>IF($K$17="Sube",IF(ISERROR(Y17/$L$17)=TRUE,"",IF(Y17&gt;$L$17,AC17,Y17/$L$17*AC17)),IF(ISERROR($L$17/Y17)=TRUE,"",IF($L$17&lt;Y17,$L$17/Y17*AC17,AC17)))</f>
        <v/>
      </c>
      <c r="AE17" s="572" t="str">
        <f>IF($K$17="Sube",IF(ISERROR(Y17/$L$17)=TRUE,"",IF(Y17&gt;=$L$17,1,0)),IF(ISERROR($L$17/Y17)=TRUE,"",IF($L$17&lt;Y17,0,1)))</f>
        <v/>
      </c>
      <c r="AF17" s="655"/>
      <c r="AG17" s="463"/>
      <c r="AH17" s="137"/>
      <c r="AI17" t="s">
        <v>338</v>
      </c>
      <c r="AP17" s="64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4"/>
      <c r="BD17" s="64"/>
      <c r="BE17" s="64"/>
    </row>
    <row r="18" spans="1:57" ht="90" x14ac:dyDescent="0.25">
      <c r="A18" s="744"/>
      <c r="B18" s="465">
        <v>10</v>
      </c>
      <c r="C18" s="466" t="s">
        <v>255</v>
      </c>
      <c r="D18" s="449" t="s">
        <v>121</v>
      </c>
      <c r="E18" s="61"/>
      <c r="F18" s="467"/>
      <c r="G18" s="449" t="s">
        <v>342</v>
      </c>
      <c r="H18" s="449" t="s">
        <v>256</v>
      </c>
      <c r="I18" s="504" t="s">
        <v>317</v>
      </c>
      <c r="J18" s="502" t="s">
        <v>144</v>
      </c>
      <c r="K18" s="501" t="s">
        <v>100</v>
      </c>
      <c r="L18" s="591">
        <v>1</v>
      </c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8" t="e">
        <f t="shared" si="1"/>
        <v>#N/A</v>
      </c>
      <c r="Z18" s="599"/>
      <c r="AA18" s="597" t="e">
        <f t="shared" si="0"/>
        <v>#DIV/0!</v>
      </c>
      <c r="AB18" s="507" t="s">
        <v>13</v>
      </c>
      <c r="AC18" s="610">
        <v>9.6100000000000005E-3</v>
      </c>
      <c r="AD18" s="601" t="str">
        <f>IF($K$18="Sube",IF(ISERROR(Y18/$L$18)=TRUE,"",IF(Y18&gt;$L$18,AC18,Y18/$L$18*AC18)),IF(ISERROR($L$18/Y18)=TRUE,"",IF($L$18&lt;Y18,$L$18/Y18*AC18,AC18)))</f>
        <v/>
      </c>
      <c r="AE18" s="602" t="str">
        <f>IF($K$18="Sube",IF(ISERROR(Y18/$L$18)=TRUE,"",IF(Y18&gt;=$L$18,1,0)),IF(ISERROR($L$18/Y18)=TRUE,"",IF($L$18&lt;Y18,0,1)))</f>
        <v/>
      </c>
      <c r="AF18" s="656"/>
      <c r="AG18" s="650"/>
      <c r="AH18" s="138"/>
      <c r="AI18" s="484" t="s">
        <v>339</v>
      </c>
      <c r="AP18" s="64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4"/>
      <c r="BE18" s="64"/>
    </row>
    <row r="19" spans="1:57" ht="38.25" x14ac:dyDescent="0.25">
      <c r="A19" s="744"/>
      <c r="B19" s="465">
        <v>11</v>
      </c>
      <c r="C19" s="468" t="s">
        <v>257</v>
      </c>
      <c r="D19" s="449" t="s">
        <v>113</v>
      </c>
      <c r="E19" s="61"/>
      <c r="F19" s="467"/>
      <c r="G19" s="449" t="s">
        <v>337</v>
      </c>
      <c r="H19" s="449" t="s">
        <v>340</v>
      </c>
      <c r="I19" s="504" t="s">
        <v>317</v>
      </c>
      <c r="J19" s="502" t="s">
        <v>108</v>
      </c>
      <c r="K19" s="501" t="s">
        <v>100</v>
      </c>
      <c r="L19" s="591">
        <v>1</v>
      </c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8" t="e">
        <f t="shared" si="1"/>
        <v>#N/A</v>
      </c>
      <c r="Z19" s="599"/>
      <c r="AA19" s="597" t="e">
        <f t="shared" si="0"/>
        <v>#DIV/0!</v>
      </c>
      <c r="AB19" s="507" t="s">
        <v>13</v>
      </c>
      <c r="AC19" s="610">
        <v>9.6100000000000005E-3</v>
      </c>
      <c r="AD19" s="601" t="str">
        <f>IF($K$19="Sube",IF(ISERROR(Y19/$L$19)=TRUE,"",IF(Y19&gt;$L$19,AC19,Y19/$L$19*AC19)),IF(ISERROR($L$19/Y19)=TRUE,"",IF($L$19&lt;Y19,$L$19/Y19*AC19,AC19)))</f>
        <v/>
      </c>
      <c r="AE19" s="602" t="str">
        <f>IF($K$19="Sube",IF(ISERROR(Y19/$L$19)=TRUE,"",IF(Y19&gt;=$L$19,1,0)),IF(ISERROR($L$19/Y19)=TRUE,"",IF($L$19&lt;Y19,0,1)))</f>
        <v/>
      </c>
      <c r="AF19" s="656"/>
      <c r="AG19" s="650"/>
      <c r="AH19" s="138"/>
      <c r="AI19" t="s">
        <v>341</v>
      </c>
      <c r="AP19" s="64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64"/>
      <c r="BE19" s="64"/>
    </row>
    <row r="20" spans="1:57" ht="25.5" x14ac:dyDescent="0.25">
      <c r="A20" s="744"/>
      <c r="B20" s="465"/>
      <c r="C20" s="449" t="s">
        <v>122</v>
      </c>
      <c r="D20" s="469" t="s">
        <v>121</v>
      </c>
      <c r="E20" s="154"/>
      <c r="F20" s="470"/>
      <c r="G20" s="449" t="s">
        <v>123</v>
      </c>
      <c r="H20" s="449" t="s">
        <v>124</v>
      </c>
      <c r="I20" s="516" t="s">
        <v>355</v>
      </c>
      <c r="J20" s="502" t="s">
        <v>108</v>
      </c>
      <c r="K20" s="501" t="s">
        <v>100</v>
      </c>
      <c r="L20" s="591">
        <v>0.9</v>
      </c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8" t="e">
        <f t="shared" ref="Y20" si="2">LOOKUP(1000000000,M20:X20)</f>
        <v>#N/A</v>
      </c>
      <c r="Z20" s="599"/>
      <c r="AA20" s="597" t="e">
        <f t="shared" ref="AA20" si="3">+IF(SLOPE(M20:X20,$M$7:$X$7)&gt;0,"Al alza",IF(SLOPE(M20:X20,$M$7:$X$7)&lt;0,"A la baja","Sin cambio"))</f>
        <v>#DIV/0!</v>
      </c>
      <c r="AB20" s="507" t="s">
        <v>13</v>
      </c>
      <c r="AC20" s="610">
        <v>9.6100000000000005E-3</v>
      </c>
      <c r="AD20" s="601"/>
      <c r="AE20" s="602"/>
      <c r="AF20" s="656"/>
      <c r="AG20" s="650"/>
      <c r="AH20" s="138"/>
      <c r="AP20" s="64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64"/>
      <c r="BE20" s="64"/>
    </row>
    <row r="21" spans="1:57" ht="38.25" x14ac:dyDescent="0.25">
      <c r="A21" s="744"/>
      <c r="B21" s="465"/>
      <c r="C21" s="449" t="s">
        <v>258</v>
      </c>
      <c r="D21" s="469" t="s">
        <v>112</v>
      </c>
      <c r="E21" s="154"/>
      <c r="F21" s="470"/>
      <c r="G21" s="449" t="s">
        <v>259</v>
      </c>
      <c r="H21" s="449" t="s">
        <v>260</v>
      </c>
      <c r="I21" s="452" t="s">
        <v>316</v>
      </c>
      <c r="J21" s="502" t="s">
        <v>144</v>
      </c>
      <c r="K21" s="501" t="s">
        <v>100</v>
      </c>
      <c r="L21" s="596">
        <f>+(9.9925/9.9204)-1</f>
        <v>7.2678521027376153E-3</v>
      </c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8"/>
      <c r="Z21" s="599"/>
      <c r="AA21" s="597"/>
      <c r="AB21" s="507"/>
      <c r="AC21" s="610"/>
      <c r="AD21" s="601"/>
      <c r="AE21" s="602"/>
      <c r="AF21" s="656"/>
      <c r="AG21" s="650"/>
      <c r="AH21" s="138"/>
      <c r="AP21" s="64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4"/>
      <c r="BD21" s="64"/>
      <c r="BE21" s="64"/>
    </row>
    <row r="22" spans="1:57" ht="26.25" thickBot="1" x14ac:dyDescent="0.3">
      <c r="A22" s="745"/>
      <c r="B22" s="471">
        <v>12</v>
      </c>
      <c r="C22" s="458" t="s">
        <v>261</v>
      </c>
      <c r="D22" s="458" t="s">
        <v>112</v>
      </c>
      <c r="E22" s="150"/>
      <c r="F22" s="472"/>
      <c r="G22" s="458" t="s">
        <v>262</v>
      </c>
      <c r="H22" s="458" t="s">
        <v>263</v>
      </c>
      <c r="I22" s="657" t="s">
        <v>240</v>
      </c>
      <c r="J22" s="502" t="s">
        <v>108</v>
      </c>
      <c r="K22" s="501"/>
      <c r="L22" s="591" t="s">
        <v>315</v>
      </c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3"/>
      <c r="Z22" s="584"/>
      <c r="AA22" s="582"/>
      <c r="AB22" s="585"/>
      <c r="AC22" s="586"/>
      <c r="AD22" s="587" t="str">
        <f>IF($K$22="Sube",IF(ISERROR(Y22/$L$22)=TRUE,"",IF(Y22&gt;$L$22,AC22,Y22/$L$22*AC22)),IF(ISERROR($L$22/Y22)=TRUE,"",IF($L$22&lt;Y22,$L$22/Y22*AC22,AC22)))</f>
        <v/>
      </c>
      <c r="AE22" s="588" t="str">
        <f>IF($K$22="Sube",IF(ISERROR(Y22/$L$22)=TRUE,"",IF(Y22&gt;=$L$22,1,0)),IF(ISERROR($L$22/Y22)=TRUE,"",IF($L$22&lt;Y22,0,1)))</f>
        <v/>
      </c>
      <c r="AF22" s="660"/>
      <c r="AG22" s="482"/>
      <c r="AH22" s="151"/>
      <c r="AP22" s="64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64"/>
      <c r="BE22" s="64"/>
    </row>
    <row r="23" spans="1:57" ht="45" customHeight="1" x14ac:dyDescent="0.25">
      <c r="A23" s="730" t="s">
        <v>74</v>
      </c>
      <c r="B23" s="442">
        <f>+B22+1</f>
        <v>13</v>
      </c>
      <c r="C23" s="444" t="s">
        <v>264</v>
      </c>
      <c r="D23" s="444" t="s">
        <v>114</v>
      </c>
      <c r="E23" s="127"/>
      <c r="F23" s="464"/>
      <c r="G23" s="444" t="s">
        <v>265</v>
      </c>
      <c r="H23" s="444" t="s">
        <v>266</v>
      </c>
      <c r="I23" s="506" t="s">
        <v>317</v>
      </c>
      <c r="J23" s="620" t="s">
        <v>145</v>
      </c>
      <c r="K23" s="499" t="s">
        <v>100</v>
      </c>
      <c r="L23" s="565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7" t="e">
        <f t="shared" si="1"/>
        <v>#N/A</v>
      </c>
      <c r="Z23" s="568"/>
      <c r="AA23" s="566" t="e">
        <f t="shared" si="0"/>
        <v>#DIV/0!</v>
      </c>
      <c r="AB23" s="569" t="s">
        <v>13</v>
      </c>
      <c r="AC23" s="570">
        <v>9.6100000000000005E-3</v>
      </c>
      <c r="AD23" s="571" t="str">
        <f>IF($K$23="Sube",IF(ISERROR(Y23/$L$23)=TRUE,"",IF(Y23&gt;$L$23,AC23,Y23/$L$23*AC23)),IF(ISERROR($L$23/Y23)=TRUE,"",IF($L$23&lt;Y23,$L$23/Y23*AC23,AC23)))</f>
        <v/>
      </c>
      <c r="AE23" s="572" t="str">
        <f>IF($K$23="Sube",IF(ISERROR(Y23/$L$23)=TRUE,"",IF(Y23&gt;=$L$23,1,0)),IF(ISERROR($L$23/Y23)=TRUE,"",IF($L$23&lt;Y23,0,1)))</f>
        <v/>
      </c>
      <c r="AF23" s="655"/>
      <c r="AG23" s="463"/>
      <c r="AH23" s="137"/>
      <c r="AP23" s="64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4"/>
      <c r="BD23" s="64"/>
      <c r="BE23" s="64"/>
    </row>
    <row r="24" spans="1:57" ht="49.5" customHeight="1" thickBot="1" x14ac:dyDescent="0.3">
      <c r="A24" s="732"/>
      <c r="B24" s="473">
        <f t="shared" ref="B24:B48" si="4">+B23+1</f>
        <v>14</v>
      </c>
      <c r="C24" s="449" t="s">
        <v>125</v>
      </c>
      <c r="D24" s="474" t="s">
        <v>112</v>
      </c>
      <c r="E24" s="61"/>
      <c r="F24" s="467"/>
      <c r="G24" s="272" t="s">
        <v>154</v>
      </c>
      <c r="H24" s="272" t="s">
        <v>155</v>
      </c>
      <c r="I24" s="313">
        <f>1152/1344</f>
        <v>0.8571428571428571</v>
      </c>
      <c r="J24" s="502" t="s">
        <v>144</v>
      </c>
      <c r="K24" s="501" t="s">
        <v>100</v>
      </c>
      <c r="L24" s="591">
        <v>0.87</v>
      </c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8" t="e">
        <f t="shared" si="1"/>
        <v>#N/A</v>
      </c>
      <c r="Z24" s="599"/>
      <c r="AA24" s="597" t="e">
        <f t="shared" si="0"/>
        <v>#DIV/0!</v>
      </c>
      <c r="AB24" s="507" t="s">
        <v>13</v>
      </c>
      <c r="AC24" s="610">
        <v>9.6100000000000005E-3</v>
      </c>
      <c r="AD24" s="601" t="str">
        <f>IF($K$24="Sube",IF(ISERROR(Y24/$L$24)=TRUE,"",IF(Y24&gt;$L$24,AC24,Y24/$L$24*AC24)),IF(ISERROR($L$24/Y24)=TRUE,"",IF($L$24&lt;Y24,$L$24/Y24*AC24,AC24)))</f>
        <v/>
      </c>
      <c r="AE24" s="602" t="str">
        <f>IF($K$24="Sube",IF(ISERROR(Y24/$L$24)=TRUE,"",IF(Y24&gt;=$L$24,1,0)),IF(ISERROR($L$24/Y24)=TRUE,"",IF($L$24&lt;Y24,0,1)))</f>
        <v/>
      </c>
      <c r="AF24" s="656"/>
      <c r="AG24" s="650"/>
      <c r="AH24" s="138"/>
      <c r="AP24" s="64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4"/>
      <c r="BD24" s="64"/>
      <c r="BE24" s="64"/>
    </row>
    <row r="25" spans="1:57" ht="56.25" customHeight="1" thickBot="1" x14ac:dyDescent="0.3">
      <c r="A25" s="731"/>
      <c r="B25" s="475">
        <f t="shared" si="4"/>
        <v>15</v>
      </c>
      <c r="C25" s="458" t="s">
        <v>267</v>
      </c>
      <c r="D25" s="476" t="s">
        <v>112</v>
      </c>
      <c r="E25" s="150"/>
      <c r="F25" s="472"/>
      <c r="G25" s="321" t="s">
        <v>193</v>
      </c>
      <c r="H25" s="321" t="s">
        <v>213</v>
      </c>
      <c r="I25" s="325">
        <f>7.218/9.426-1</f>
        <v>-0.23424570337364736</v>
      </c>
      <c r="J25" s="603" t="s">
        <v>146</v>
      </c>
      <c r="K25" s="580" t="s">
        <v>100</v>
      </c>
      <c r="L25" s="581">
        <f>+'Tablero Estratégico'!AG8</f>
        <v>-0.2</v>
      </c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3" t="e">
        <f t="shared" si="1"/>
        <v>#N/A</v>
      </c>
      <c r="Z25" s="584"/>
      <c r="AA25" s="582" t="e">
        <f t="shared" si="0"/>
        <v>#DIV/0!</v>
      </c>
      <c r="AB25" s="585" t="s">
        <v>13</v>
      </c>
      <c r="AC25" s="586">
        <v>9.6100000000000005E-3</v>
      </c>
      <c r="AD25" s="587" t="str">
        <f>IF($K$25="Sube",IF(ISERROR(Y25/$L$25)=TRUE,"",IF(Y25&gt;$L$25,AC25,Y25/$L$25*AC25)),IF(ISERROR($L$25/Y25)=TRUE,"",IF($L$25&lt;Y25,$L$25/Y25*AC25,AC25)))</f>
        <v/>
      </c>
      <c r="AE25" s="588" t="str">
        <f>IF($K$25="Sube",IF(ISERROR(Y25/$L$25)=TRUE,"",IF(Y25&gt;=$L$25,1,0)),IF(ISERROR($L$25/Y25)=TRUE,"",IF($L$25&lt;Y25,0,1)))</f>
        <v/>
      </c>
      <c r="AF25" s="660"/>
      <c r="AG25" s="482"/>
      <c r="AH25" s="151"/>
      <c r="AP25" s="64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4"/>
      <c r="BD25" s="64"/>
      <c r="BE25" s="64"/>
    </row>
    <row r="26" spans="1:57" ht="76.5" x14ac:dyDescent="0.25">
      <c r="A26" s="730" t="s">
        <v>48</v>
      </c>
      <c r="B26" s="442" t="e">
        <f>+#REF!+1</f>
        <v>#REF!</v>
      </c>
      <c r="C26" s="443" t="s">
        <v>126</v>
      </c>
      <c r="D26" s="443" t="s">
        <v>121</v>
      </c>
      <c r="E26" s="226"/>
      <c r="F26" s="226"/>
      <c r="G26" s="443" t="s">
        <v>268</v>
      </c>
      <c r="H26" s="443" t="s">
        <v>129</v>
      </c>
      <c r="I26" s="556">
        <v>1</v>
      </c>
      <c r="J26" s="620" t="s">
        <v>144</v>
      </c>
      <c r="K26" s="499"/>
      <c r="L26" s="565">
        <v>1</v>
      </c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7" t="e">
        <f t="shared" si="1"/>
        <v>#N/A</v>
      </c>
      <c r="Z26" s="568"/>
      <c r="AA26" s="566" t="e">
        <f t="shared" si="0"/>
        <v>#DIV/0!</v>
      </c>
      <c r="AB26" s="569" t="s">
        <v>13</v>
      </c>
      <c r="AC26" s="570">
        <v>9.6100000000000005E-3</v>
      </c>
      <c r="AD26" s="571" t="str">
        <f>IF($K$26="Sube",IF(ISERROR(Y26/$L$26)=TRUE,"",IF(Y26&gt;$L$26,AC26,Y26/$L$26*AC26)),IF(ISERROR($L$26/Y26)=TRUE,"",IF($L$26&lt;Y26,$L$26/Y26*AC26,AC26)))</f>
        <v/>
      </c>
      <c r="AE26" s="572" t="str">
        <f>IF($K$26="Sube",IF(ISERROR(Y26/$L$26)=TRUE,"",IF(Y26&gt;=$L$26,1,0)),IF(ISERROR($L$26/Y26)=TRUE,"",IF($L$26&lt;Y26,0,1)))</f>
        <v/>
      </c>
      <c r="AF26" s="655"/>
      <c r="AG26" s="463"/>
      <c r="AH26" s="137"/>
      <c r="AP26" s="64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4"/>
      <c r="BD26" s="64"/>
      <c r="BE26" s="64"/>
    </row>
    <row r="27" spans="1:57" ht="63.75" x14ac:dyDescent="0.25">
      <c r="A27" s="732"/>
      <c r="B27" s="447" t="e">
        <f t="shared" si="4"/>
        <v>#REF!</v>
      </c>
      <c r="C27" s="448" t="s">
        <v>127</v>
      </c>
      <c r="D27" s="448" t="s">
        <v>121</v>
      </c>
      <c r="E27" s="167"/>
      <c r="F27" s="167"/>
      <c r="G27" s="448" t="s">
        <v>269</v>
      </c>
      <c r="H27" s="448" t="s">
        <v>270</v>
      </c>
      <c r="I27" s="557">
        <v>0.9</v>
      </c>
      <c r="J27" s="502" t="s">
        <v>108</v>
      </c>
      <c r="K27" s="501"/>
      <c r="L27" s="591">
        <v>1</v>
      </c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8" t="e">
        <f t="shared" si="1"/>
        <v>#N/A</v>
      </c>
      <c r="Z27" s="599"/>
      <c r="AA27" s="597" t="e">
        <f t="shared" si="0"/>
        <v>#DIV/0!</v>
      </c>
      <c r="AB27" s="507" t="s">
        <v>13</v>
      </c>
      <c r="AC27" s="610">
        <v>9.6100000000000005E-3</v>
      </c>
      <c r="AD27" s="601" t="str">
        <f>IF($K$27="Sube",IF(ISERROR(Y27/$L$27)=TRUE,"",IF(Y27&gt;$L$27,AC27,Y27/$L$27*AC27)),IF(ISERROR($L$27/Y27)=TRUE,"",IF($L$27&lt;Y27,$L$27/Y27*AC27,AC27)))</f>
        <v/>
      </c>
      <c r="AE27" s="602" t="str">
        <f>IF($K$27="Sube",IF(ISERROR(Y27/$L$27)=TRUE,"",IF(Y27&gt;=$L$27,1,0)),IF(ISERROR($L$27/Y27)=TRUE,"",IF($L$27&lt;Y27,0,1)))</f>
        <v/>
      </c>
      <c r="AF27" s="656"/>
      <c r="AG27" s="650"/>
      <c r="AH27" s="138"/>
      <c r="AP27" s="64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4"/>
      <c r="BD27" s="64"/>
      <c r="BE27" s="64"/>
    </row>
    <row r="28" spans="1:57" ht="76.5" x14ac:dyDescent="0.25">
      <c r="A28" s="732"/>
      <c r="B28" s="447" t="e">
        <f t="shared" si="4"/>
        <v>#REF!</v>
      </c>
      <c r="C28" s="448" t="s">
        <v>128</v>
      </c>
      <c r="D28" s="448" t="s">
        <v>121</v>
      </c>
      <c r="E28" s="167"/>
      <c r="F28" s="167"/>
      <c r="G28" s="448" t="s">
        <v>271</v>
      </c>
      <c r="H28" s="448" t="s">
        <v>272</v>
      </c>
      <c r="I28" s="507" t="s">
        <v>317</v>
      </c>
      <c r="J28" s="502" t="s">
        <v>144</v>
      </c>
      <c r="K28" s="501"/>
      <c r="L28" s="591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8"/>
      <c r="Z28" s="599"/>
      <c r="AA28" s="597"/>
      <c r="AB28" s="507"/>
      <c r="AC28" s="610"/>
      <c r="AD28" s="601"/>
      <c r="AE28" s="602"/>
      <c r="AF28" s="656"/>
      <c r="AG28" s="650"/>
      <c r="AH28" s="138"/>
      <c r="AP28" s="64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4"/>
      <c r="BD28" s="64"/>
      <c r="BE28" s="64"/>
    </row>
    <row r="29" spans="1:57" ht="39" thickBot="1" x14ac:dyDescent="0.3">
      <c r="A29" s="731"/>
      <c r="B29" s="461" t="e">
        <f t="shared" si="4"/>
        <v>#REF!</v>
      </c>
      <c r="C29" s="477" t="s">
        <v>273</v>
      </c>
      <c r="D29" s="477" t="s">
        <v>114</v>
      </c>
      <c r="E29" s="283"/>
      <c r="F29" s="283"/>
      <c r="G29" s="477" t="s">
        <v>251</v>
      </c>
      <c r="H29" s="458" t="s">
        <v>274</v>
      </c>
      <c r="I29" s="519">
        <v>0.878</v>
      </c>
      <c r="J29" s="603" t="s">
        <v>108</v>
      </c>
      <c r="K29" s="580" t="s">
        <v>100</v>
      </c>
      <c r="L29" s="581">
        <v>0.93</v>
      </c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3" t="e">
        <f t="shared" si="1"/>
        <v>#N/A</v>
      </c>
      <c r="Z29" s="584"/>
      <c r="AA29" s="582" t="e">
        <f t="shared" ref="AA29:AA47" si="5">+IF(SLOPE(M29:X29,$M$7:$X$7)&gt;0,"Al alza",IF(SLOPE(M29:X29,$M$7:$X$7)&lt;0,"A la baja","Sin cambio"))</f>
        <v>#DIV/0!</v>
      </c>
      <c r="AB29" s="585" t="s">
        <v>13</v>
      </c>
      <c r="AC29" s="586">
        <v>9.6100000000000005E-3</v>
      </c>
      <c r="AD29" s="587" t="str">
        <f t="shared" ref="AD29" si="6">IF(K29="Sube",IF(ISERROR(Y29/L29)=TRUE,"",IF(Y29&gt;L29,AC29,Y29/L29*AC29)),IF(ISERROR(L29/Y29)=TRUE,"",IF(L29&lt;Y29,L29/Y29*AC29,AC29)))</f>
        <v/>
      </c>
      <c r="AE29" s="588" t="str">
        <f>IF($K$29="Sube",IF(ISERROR(Y29/$L$29)=TRUE,"",IF(Y29&gt;=$L$29,1,0)),IF(ISERROR($L$29/Y29)=TRUE,"",IF($L$29&lt;Y29,0,1)))</f>
        <v/>
      </c>
      <c r="AF29" s="660"/>
      <c r="AG29" s="482"/>
      <c r="AH29" s="151"/>
      <c r="AP29" s="64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4"/>
      <c r="BE29" s="64"/>
    </row>
    <row r="30" spans="1:57" ht="25.5" x14ac:dyDescent="0.25">
      <c r="A30" s="730" t="s">
        <v>75</v>
      </c>
      <c r="B30" s="561" t="e">
        <f t="shared" si="4"/>
        <v>#REF!</v>
      </c>
      <c r="C30" s="444" t="s">
        <v>109</v>
      </c>
      <c r="D30" s="444" t="s">
        <v>121</v>
      </c>
      <c r="E30" s="463"/>
      <c r="F30" s="464"/>
      <c r="G30" s="478" t="s">
        <v>346</v>
      </c>
      <c r="H30" s="444" t="s">
        <v>130</v>
      </c>
      <c r="I30" s="520">
        <v>0.97599999999999998</v>
      </c>
      <c r="J30" s="498" t="s">
        <v>108</v>
      </c>
      <c r="K30" s="499" t="s">
        <v>100</v>
      </c>
      <c r="L30" s="565" t="s">
        <v>343</v>
      </c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7" t="e">
        <f t="shared" si="1"/>
        <v>#N/A</v>
      </c>
      <c r="Z30" s="568"/>
      <c r="AA30" s="566" t="e">
        <f t="shared" si="5"/>
        <v>#DIV/0!</v>
      </c>
      <c r="AB30" s="569" t="s">
        <v>13</v>
      </c>
      <c r="AC30" s="570">
        <v>9.6100000000000005E-3</v>
      </c>
      <c r="AD30" s="571" t="str">
        <f>IF($K$30="Sube",IF(ISERROR(Y30/$L$30)=TRUE,"",IF(Y30&gt;$L$30,AC30,Y30/$L$30*AC30)),IF(ISERROR($L$30/Y30)=TRUE,"",IF($L$30&lt;Y30,$L$30/Y30*AC30,AC30)))</f>
        <v/>
      </c>
      <c r="AE30" s="572" t="str">
        <f>IF($K$30="Sube",IF(ISERROR(Y30/$L$30)=TRUE,"",IF(Y30&gt;=$L$30,1,0)),IF(ISERROR($L$30/Y30)=TRUE,"",IF($L$30&lt;Y30,0,1)))</f>
        <v/>
      </c>
      <c r="AF30" s="655"/>
      <c r="AG30" s="463"/>
      <c r="AH30" s="137"/>
      <c r="AP30" s="64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4"/>
      <c r="BD30" s="64"/>
      <c r="BE30" s="64"/>
    </row>
    <row r="31" spans="1:57" ht="38.25" x14ac:dyDescent="0.25">
      <c r="A31" s="732"/>
      <c r="B31" s="562" t="e">
        <f t="shared" si="4"/>
        <v>#REF!</v>
      </c>
      <c r="C31" s="449" t="s">
        <v>110</v>
      </c>
      <c r="D31" s="449" t="s">
        <v>112</v>
      </c>
      <c r="E31" s="61"/>
      <c r="F31" s="61"/>
      <c r="G31" s="449" t="s">
        <v>344</v>
      </c>
      <c r="H31" s="449" t="s">
        <v>345</v>
      </c>
      <c r="I31" s="508" t="s">
        <v>317</v>
      </c>
      <c r="J31" s="500" t="s">
        <v>108</v>
      </c>
      <c r="K31" s="501" t="s">
        <v>100</v>
      </c>
      <c r="L31" s="591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8" t="e">
        <f t="shared" si="1"/>
        <v>#N/A</v>
      </c>
      <c r="Z31" s="599"/>
      <c r="AA31" s="597" t="e">
        <f t="shared" si="5"/>
        <v>#DIV/0!</v>
      </c>
      <c r="AB31" s="507" t="s">
        <v>13</v>
      </c>
      <c r="AC31" s="610">
        <v>9.6100000000000005E-3</v>
      </c>
      <c r="AD31" s="601" t="str">
        <f>IF($K$31="Sube",IF(ISERROR(Y31/$L$31)=TRUE,"",IF(Y31&gt;$L$31,AC31,Y31/$L$31*AC31)),IF(ISERROR($L$31/Y31)=TRUE,"",IF($L$31&lt;Y31,$L$31/Y31*AC31,AC31)))</f>
        <v/>
      </c>
      <c r="AE31" s="602" t="str">
        <f>IF($K$31="Sube",IF(ISERROR(Y31/$L$31)=TRUE,"",IF(Y31&gt;=$L$31,1,0)),IF(ISERROR($L$31/Y31)=TRUE,"",IF($L$31&lt;Y31,0,1)))</f>
        <v/>
      </c>
      <c r="AF31" s="656"/>
      <c r="AG31" s="650"/>
      <c r="AH31" s="138"/>
      <c r="AP31" s="64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4"/>
      <c r="BD31" s="64"/>
      <c r="BE31" s="64"/>
    </row>
    <row r="32" spans="1:57" ht="39" thickBot="1" x14ac:dyDescent="0.3">
      <c r="A32" s="731"/>
      <c r="B32" s="109" t="e">
        <f t="shared" si="4"/>
        <v>#REF!</v>
      </c>
      <c r="C32" s="469" t="s">
        <v>111</v>
      </c>
      <c r="D32" s="469" t="s">
        <v>121</v>
      </c>
      <c r="E32" s="154"/>
      <c r="F32" s="154"/>
      <c r="G32" s="469" t="s">
        <v>347</v>
      </c>
      <c r="H32" s="469" t="s">
        <v>275</v>
      </c>
      <c r="I32" s="559">
        <v>0.98</v>
      </c>
      <c r="J32" s="621" t="s">
        <v>108</v>
      </c>
      <c r="K32" s="611" t="s">
        <v>100</v>
      </c>
      <c r="L32" s="592">
        <v>1</v>
      </c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3" t="e">
        <f t="shared" si="1"/>
        <v>#N/A</v>
      </c>
      <c r="Z32" s="614"/>
      <c r="AA32" s="612" t="e">
        <f t="shared" si="5"/>
        <v>#DIV/0!</v>
      </c>
      <c r="AB32" s="615" t="s">
        <v>13</v>
      </c>
      <c r="AC32" s="616">
        <v>9.6100000000000005E-3</v>
      </c>
      <c r="AD32" s="617" t="str">
        <f>IF($K$32="Sube",IF(ISERROR(Y32/$L$32)=TRUE,"",IF(Y32&gt;$L$32,AC32,Y32/$L$32*AC32)),IF(ISERROR($L$32/Y32)=TRUE,"",IF($L$32&lt;Y32,$L$32/Y32*AC32,AC32)))</f>
        <v/>
      </c>
      <c r="AE32" s="618" t="str">
        <f>IF($K$32="Sube",IF(ISERROR(Y32/$L$32)=TRUE,"",IF(Y32&gt;=$L$32,1,0)),IF(ISERROR($L$32/Y32)=TRUE,"",IF($L$32&lt;Y32,0,1)))</f>
        <v/>
      </c>
      <c r="AF32" s="659"/>
      <c r="AG32" s="652"/>
      <c r="AH32" s="479"/>
      <c r="AP32" s="64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4"/>
      <c r="BD32" s="64"/>
      <c r="BE32" s="64"/>
    </row>
    <row r="33" spans="1:57" s="4" customFormat="1" ht="25.5" x14ac:dyDescent="0.25">
      <c r="A33" s="730" t="s">
        <v>77</v>
      </c>
      <c r="B33" s="561" t="e">
        <f>+#REF!+1</f>
        <v>#REF!</v>
      </c>
      <c r="C33" s="444" t="s">
        <v>131</v>
      </c>
      <c r="D33" s="444" t="s">
        <v>114</v>
      </c>
      <c r="E33" s="127"/>
      <c r="F33" s="127"/>
      <c r="G33" s="444" t="s">
        <v>132</v>
      </c>
      <c r="H33" s="444" t="s">
        <v>133</v>
      </c>
      <c r="I33" s="520">
        <f>+'Tablero Estratégico'!AF26</f>
        <v>0.11064973131411822</v>
      </c>
      <c r="J33" s="498" t="s">
        <v>147</v>
      </c>
      <c r="K33" s="499" t="s">
        <v>141</v>
      </c>
      <c r="L33" s="565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7" t="e">
        <f t="shared" si="1"/>
        <v>#N/A</v>
      </c>
      <c r="Z33" s="568"/>
      <c r="AA33" s="566" t="e">
        <f t="shared" si="5"/>
        <v>#DIV/0!</v>
      </c>
      <c r="AB33" s="569" t="s">
        <v>13</v>
      </c>
      <c r="AC33" s="570">
        <v>9.6100000000000005E-3</v>
      </c>
      <c r="AD33" s="571" t="str">
        <f>IF($K$33="Sube",IF(ISERROR(Y33/$L$33)=TRUE,"",IF(Y33&gt;$L$33,AC33,Y33/$L$33*AC33)),IF(ISERROR($L$33/Y33)=TRUE,"",IF($L$33&lt;Y33,$L$33/Y33*AC33,AC33)))</f>
        <v/>
      </c>
      <c r="AE33" s="572" t="str">
        <f>IF($K$33="Sube",IF(ISERROR(Y33/$L$33)=TRUE,"",IF(Y33&gt;=$L$33,1,0)),IF(ISERROR($L$33/Y33)=TRUE,"",IF($L$33&lt;Y33,0,1)))</f>
        <v/>
      </c>
      <c r="AF33" s="655"/>
      <c r="AG33" s="463"/>
      <c r="AH33" s="127"/>
      <c r="AI33" s="646" t="s">
        <v>348</v>
      </c>
      <c r="AP33" s="64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4"/>
      <c r="BD33" s="64"/>
      <c r="BE33" s="64"/>
    </row>
    <row r="34" spans="1:57" s="4" customFormat="1" ht="26.25" thickBot="1" x14ac:dyDescent="0.3">
      <c r="A34" s="731"/>
      <c r="B34" s="139" t="e">
        <f>+#REF!+1</f>
        <v>#REF!</v>
      </c>
      <c r="C34" s="458" t="s">
        <v>276</v>
      </c>
      <c r="D34" s="458" t="s">
        <v>114</v>
      </c>
      <c r="E34" s="150"/>
      <c r="F34" s="150"/>
      <c r="G34" s="480" t="s">
        <v>349</v>
      </c>
      <c r="H34" s="458" t="s">
        <v>277</v>
      </c>
      <c r="I34" s="509" t="s">
        <v>317</v>
      </c>
      <c r="J34" s="579" t="s">
        <v>108</v>
      </c>
      <c r="K34" s="580" t="s">
        <v>100</v>
      </c>
      <c r="L34" s="581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3" t="e">
        <f t="shared" si="1"/>
        <v>#N/A</v>
      </c>
      <c r="Z34" s="584"/>
      <c r="AA34" s="582" t="e">
        <f t="shared" si="5"/>
        <v>#DIV/0!</v>
      </c>
      <c r="AB34" s="585" t="s">
        <v>13</v>
      </c>
      <c r="AC34" s="586">
        <v>9.6100000000000005E-3</v>
      </c>
      <c r="AD34" s="587" t="str">
        <f>IF($K$34="Sube",IF(ISERROR(Y34/$L$34)=TRUE,"",IF(Y34&gt;$L$34,AC34,Y34/$L$34*AC34)),IF(ISERROR($L$34/Y34)=TRUE,"",IF($L$34&lt;Y34,$L$34/Y34*AC34,AC34)))</f>
        <v/>
      </c>
      <c r="AE34" s="588" t="str">
        <f>IF($K$34="Sube",IF(ISERROR(Y34/$L$34)=TRUE,"",IF(Y34&gt;=$L$34,1,0)),IF(ISERROR($L$34/Y34)=TRUE,"",IF($L$34&lt;Y34,0,1)))</f>
        <v/>
      </c>
      <c r="AF34" s="660"/>
      <c r="AG34" s="482"/>
      <c r="AH34" s="150"/>
      <c r="AI34" s="646"/>
      <c r="AP34" s="64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D34" s="64"/>
      <c r="BE34" s="64"/>
    </row>
    <row r="35" spans="1:57" s="574" customFormat="1" ht="63.75" customHeight="1" x14ac:dyDescent="0.25">
      <c r="A35" s="728" t="s">
        <v>78</v>
      </c>
      <c r="B35" s="563" t="e">
        <f t="shared" si="4"/>
        <v>#REF!</v>
      </c>
      <c r="C35" s="443" t="s">
        <v>350</v>
      </c>
      <c r="D35" s="443" t="s">
        <v>121</v>
      </c>
      <c r="E35" s="226"/>
      <c r="F35" s="226"/>
      <c r="G35" s="443" t="s">
        <v>351</v>
      </c>
      <c r="H35" s="443" t="s">
        <v>352</v>
      </c>
      <c r="I35" s="564" t="s">
        <v>317</v>
      </c>
      <c r="J35" s="498" t="s">
        <v>108</v>
      </c>
      <c r="K35" s="499" t="s">
        <v>100</v>
      </c>
      <c r="L35" s="565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7" t="e">
        <f t="shared" si="1"/>
        <v>#N/A</v>
      </c>
      <c r="Z35" s="568"/>
      <c r="AA35" s="566" t="e">
        <f t="shared" si="5"/>
        <v>#DIV/0!</v>
      </c>
      <c r="AB35" s="569" t="s">
        <v>13</v>
      </c>
      <c r="AC35" s="570">
        <v>9.6100000000000005E-3</v>
      </c>
      <c r="AD35" s="571" t="str">
        <f>IF($K$35="Sube",IF(ISERROR(Y35/$L$35)=TRUE,"",IF(Y35&gt;$L$35,AC35,Y35/$L$35*AC35)),IF(ISERROR($L$35/Y35)=TRUE,"",IF($L$35&lt;Y35,$L$35/Y35*AC35,AC35)))</f>
        <v/>
      </c>
      <c r="AE35" s="572" t="str">
        <f>IF($K$35="Sube",IF(ISERROR(Y35/$L$35)=TRUE,"",IF(Y35&gt;=$L$35,1,0)),IF(ISERROR($L$35/Y35)=TRUE,"",IF($L$35&lt;Y35,0,1)))</f>
        <v/>
      </c>
      <c r="AF35" s="661"/>
      <c r="AG35" s="445"/>
      <c r="AH35" s="573"/>
      <c r="AP35" s="575"/>
      <c r="AQ35" s="576"/>
      <c r="AR35" s="576"/>
      <c r="AS35" s="576"/>
      <c r="AT35" s="576"/>
      <c r="AU35" s="576"/>
      <c r="AV35" s="576"/>
      <c r="AW35" s="576"/>
      <c r="AX35" s="576"/>
      <c r="AY35" s="576"/>
      <c r="AZ35" s="576"/>
      <c r="BA35" s="576"/>
      <c r="BB35" s="576"/>
      <c r="BC35" s="575"/>
      <c r="BD35" s="575"/>
      <c r="BE35" s="575"/>
    </row>
    <row r="36" spans="1:57" s="574" customFormat="1" ht="26.25" thickBot="1" x14ac:dyDescent="0.3">
      <c r="A36" s="729"/>
      <c r="B36" s="577" t="e">
        <f>+B35+1</f>
        <v>#REF!</v>
      </c>
      <c r="C36" s="477" t="s">
        <v>134</v>
      </c>
      <c r="D36" s="477" t="s">
        <v>135</v>
      </c>
      <c r="E36" s="283"/>
      <c r="F36" s="283"/>
      <c r="G36" s="477" t="s">
        <v>278</v>
      </c>
      <c r="H36" s="477" t="s">
        <v>136</v>
      </c>
      <c r="I36" s="578" t="s">
        <v>317</v>
      </c>
      <c r="J36" s="579" t="s">
        <v>279</v>
      </c>
      <c r="K36" s="580" t="s">
        <v>100</v>
      </c>
      <c r="L36" s="581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3" t="e">
        <f t="shared" si="1"/>
        <v>#N/A</v>
      </c>
      <c r="Z36" s="584"/>
      <c r="AA36" s="582" t="e">
        <f t="shared" si="5"/>
        <v>#DIV/0!</v>
      </c>
      <c r="AB36" s="585" t="s">
        <v>13</v>
      </c>
      <c r="AC36" s="586">
        <v>9.6100000000000005E-3</v>
      </c>
      <c r="AD36" s="587" t="str">
        <f>IF($K$36="Sube",IF(ISERROR(Y36/$L$36)=TRUE,"",IF(Y36&gt;$L$36,AC36,Y36/$L$36*AC36)),IF(ISERROR($L$36/Y36)=TRUE,"",IF($L$36&lt;Y36,$L$36/Y36*AC36,AC36)))</f>
        <v/>
      </c>
      <c r="AE36" s="588" t="str">
        <f>IF($K$36="Sube",IF(ISERROR(Y36/$L$36)=TRUE,"",IF(Y36&gt;=$L$36,1,0)),IF(ISERROR($L$36/Y36)=TRUE,"",IF($L$36&lt;Y36,0,1)))</f>
        <v/>
      </c>
      <c r="AF36" s="662"/>
      <c r="AG36" s="653"/>
      <c r="AH36" s="589"/>
      <c r="AP36" s="575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5"/>
      <c r="BD36" s="575"/>
      <c r="BE36" s="575"/>
    </row>
    <row r="37" spans="1:57" ht="25.5" x14ac:dyDescent="0.25">
      <c r="A37" s="730" t="s">
        <v>280</v>
      </c>
      <c r="B37" s="442" t="e">
        <f t="shared" si="4"/>
        <v>#REF!</v>
      </c>
      <c r="C37" s="481" t="s">
        <v>281</v>
      </c>
      <c r="D37" s="443" t="s">
        <v>121</v>
      </c>
      <c r="E37" s="445"/>
      <c r="F37" s="226"/>
      <c r="G37" s="443" t="s">
        <v>282</v>
      </c>
      <c r="H37" s="443" t="s">
        <v>283</v>
      </c>
      <c r="I37" s="521">
        <v>0</v>
      </c>
      <c r="J37" s="498" t="s">
        <v>284</v>
      </c>
      <c r="K37" s="499" t="s">
        <v>100</v>
      </c>
      <c r="L37" s="565">
        <v>1</v>
      </c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7" t="e">
        <f t="shared" si="1"/>
        <v>#N/A</v>
      </c>
      <c r="Z37" s="568"/>
      <c r="AA37" s="566" t="e">
        <f t="shared" si="5"/>
        <v>#DIV/0!</v>
      </c>
      <c r="AB37" s="569" t="s">
        <v>13</v>
      </c>
      <c r="AC37" s="570">
        <v>9.6100000000000005E-3</v>
      </c>
      <c r="AD37" s="571" t="str">
        <f>IF($K$37="Sube",IF(ISERROR(Y37/$L$37)=TRUE,"",IF(Y37&gt;$L$37,AC37,Y37/$L$37*AC37)),IF(ISERROR($L$37/Y37)=TRUE,"",IF($L$37&lt;Y37,$L$37/Y37*AC37,AC37)))</f>
        <v/>
      </c>
      <c r="AE37" s="572" t="str">
        <f>IF($K$37="Sube",IF(ISERROR(Y37/$L$37)=TRUE,"",IF(Y37&gt;=$L$37,1,0)),IF(ISERROR($L$37/Y37)=TRUE,"",IF($L$37&lt;Y37,0,1)))</f>
        <v/>
      </c>
      <c r="AF37" s="655"/>
      <c r="AG37" s="463"/>
      <c r="AH37" s="137"/>
      <c r="AP37" s="64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4"/>
      <c r="BD37" s="64"/>
      <c r="BE37" s="64"/>
    </row>
    <row r="38" spans="1:57" ht="75.75" thickBot="1" x14ac:dyDescent="0.3">
      <c r="A38" s="731"/>
      <c r="B38" s="461" t="e">
        <f>+#REF!+1</f>
        <v>#REF!</v>
      </c>
      <c r="C38" s="480" t="s">
        <v>285</v>
      </c>
      <c r="D38" s="458" t="s">
        <v>113</v>
      </c>
      <c r="E38" s="482"/>
      <c r="F38" s="150"/>
      <c r="G38" s="483" t="s">
        <v>286</v>
      </c>
      <c r="H38" s="458" t="s">
        <v>287</v>
      </c>
      <c r="I38" s="555">
        <v>0.85</v>
      </c>
      <c r="J38" s="579" t="s">
        <v>279</v>
      </c>
      <c r="K38" s="580" t="s">
        <v>100</v>
      </c>
      <c r="L38" s="581">
        <v>0.92</v>
      </c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3" t="e">
        <f t="shared" si="1"/>
        <v>#N/A</v>
      </c>
      <c r="Z38" s="584">
        <f>+(4*100)/4</f>
        <v>100</v>
      </c>
      <c r="AA38" s="582" t="e">
        <f t="shared" si="5"/>
        <v>#DIV/0!</v>
      </c>
      <c r="AB38" s="585" t="s">
        <v>13</v>
      </c>
      <c r="AC38" s="586">
        <v>9.6100000000000005E-3</v>
      </c>
      <c r="AD38" s="587" t="str">
        <f>IF($K$38="Sube",IF(ISERROR(Y38/$L$38)=TRUE,"",IF(Y38&gt;$L$38,AC38,Y38/$L$38*AC38)),IF(ISERROR($L$38/Y38)=TRUE,"",IF($L$38&lt;Y38,$L$38/Y38*AC38,AC38)))</f>
        <v/>
      </c>
      <c r="AE38" s="588" t="str">
        <f>IF($K$38="Sube",IF(ISERROR(Y38/$L$38)=TRUE,"",IF(Y38&gt;=$L$38,1,0)),IF(ISERROR($L$38/Y38)=TRUE,"",IF($L$38&lt;Y38,0,1)))</f>
        <v/>
      </c>
      <c r="AF38" s="660">
        <f>1*100</f>
        <v>100</v>
      </c>
      <c r="AG38" s="482"/>
      <c r="AH38" s="151"/>
      <c r="AI38" s="484" t="s">
        <v>288</v>
      </c>
      <c r="AP38" s="64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4"/>
      <c r="BD38" s="64"/>
      <c r="BE38" s="64"/>
    </row>
    <row r="39" spans="1:57" ht="45" x14ac:dyDescent="0.25">
      <c r="A39" s="730" t="s">
        <v>79</v>
      </c>
      <c r="B39" s="485" t="e">
        <f t="shared" si="4"/>
        <v>#REF!</v>
      </c>
      <c r="C39" s="486" t="s">
        <v>137</v>
      </c>
      <c r="D39" s="486" t="s">
        <v>112</v>
      </c>
      <c r="E39" s="292"/>
      <c r="F39" s="293"/>
      <c r="G39" s="291" t="s">
        <v>176</v>
      </c>
      <c r="H39" s="291" t="s">
        <v>160</v>
      </c>
      <c r="I39" s="511">
        <f>+'Tablero Estratégico'!AF18</f>
        <v>41.3</v>
      </c>
      <c r="J39" s="511" t="s">
        <v>146</v>
      </c>
      <c r="K39" s="499" t="s">
        <v>100</v>
      </c>
      <c r="L39" s="590">
        <f>+'Tablero Estratégico'!AG18</f>
        <v>50</v>
      </c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7" t="e">
        <f t="shared" si="1"/>
        <v>#N/A</v>
      </c>
      <c r="Z39" s="568"/>
      <c r="AA39" s="566" t="e">
        <f t="shared" si="5"/>
        <v>#DIV/0!</v>
      </c>
      <c r="AB39" s="569" t="s">
        <v>13</v>
      </c>
      <c r="AC39" s="570">
        <v>9.6100000000000005E-3</v>
      </c>
      <c r="AD39" s="571" t="str">
        <f>IF($K$39="Sube",IF(ISERROR(Y39/$L$39)=TRUE,"",IF(Y39&gt;$L$39,AC39,Y39/$L$39*AC39)),IF(ISERROR($L$39/Y39)=TRUE,"",IF($L$39&lt;Y39,$L$39/Y39*AC39,AC39)))</f>
        <v/>
      </c>
      <c r="AE39" s="572" t="str">
        <f>IF($K$39="Sube",IF(ISERROR(Y39/$L$39)=TRUE,"",IF(Y39&gt;=$L$39,1,0)),IF(ISERROR($L$39/Y39)=TRUE,"",IF($L$39&lt;Y39,0,1)))</f>
        <v/>
      </c>
      <c r="AF39" s="655"/>
      <c r="AG39" s="463"/>
      <c r="AH39" s="137"/>
      <c r="AP39" s="64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4"/>
      <c r="BD39" s="64"/>
      <c r="BE39" s="64"/>
    </row>
    <row r="40" spans="1:57" ht="30" x14ac:dyDescent="0.25">
      <c r="A40" s="732"/>
      <c r="B40" s="487" t="e">
        <f t="shared" si="4"/>
        <v>#REF!</v>
      </c>
      <c r="C40" s="466" t="s">
        <v>138</v>
      </c>
      <c r="D40" s="466" t="s">
        <v>112</v>
      </c>
      <c r="E40" s="168"/>
      <c r="F40" s="169"/>
      <c r="G40" s="207" t="s">
        <v>165</v>
      </c>
      <c r="H40" s="207" t="s">
        <v>161</v>
      </c>
      <c r="I40" s="512"/>
      <c r="J40" s="512" t="s">
        <v>146</v>
      </c>
      <c r="K40" s="501" t="s">
        <v>100</v>
      </c>
      <c r="L40" s="591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8" t="e">
        <f t="shared" si="1"/>
        <v>#N/A</v>
      </c>
      <c r="Z40" s="599"/>
      <c r="AA40" s="597" t="e">
        <f t="shared" si="5"/>
        <v>#DIV/0!</v>
      </c>
      <c r="AB40" s="507" t="s">
        <v>13</v>
      </c>
      <c r="AC40" s="610">
        <v>9.6100000000000005E-3</v>
      </c>
      <c r="AD40" s="601" t="str">
        <f>IF($K$40="Sube",IF(ISERROR(Y40/$L$40)=TRUE,"",IF(Y40&gt;$L$40,AC40,Y40/$L$40*AC40)),IF(ISERROR($L$40/Y40)=TRUE,"",IF($L$40&lt;Y40,$L$40/Y40*AC40,AC40)))</f>
        <v/>
      </c>
      <c r="AE40" s="602" t="str">
        <f>IF($K$40="Sube",IF(ISERROR(Y40/$L$40)=TRUE,"",IF(Y40&gt;=$L$40,1,0)),IF(ISERROR($L$40/Y40)=TRUE,"",IF($L$40&lt;Y40,0,1)))</f>
        <v/>
      </c>
      <c r="AF40" s="656"/>
      <c r="AG40" s="650"/>
      <c r="AH40" s="138"/>
      <c r="AP40" s="64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4"/>
      <c r="BD40" s="64"/>
      <c r="BE40" s="64"/>
    </row>
    <row r="41" spans="1:57" ht="25.5" x14ac:dyDescent="0.25">
      <c r="A41" s="732"/>
      <c r="B41" s="487" t="e">
        <f>+#REF!+1</f>
        <v>#REF!</v>
      </c>
      <c r="C41" s="466" t="s">
        <v>289</v>
      </c>
      <c r="D41" s="466" t="s">
        <v>112</v>
      </c>
      <c r="E41" s="168"/>
      <c r="F41" s="169"/>
      <c r="G41" s="466" t="s">
        <v>290</v>
      </c>
      <c r="H41" s="466" t="s">
        <v>291</v>
      </c>
      <c r="I41" s="512" t="s">
        <v>317</v>
      </c>
      <c r="J41" s="500" t="s">
        <v>284</v>
      </c>
      <c r="K41" s="501" t="s">
        <v>100</v>
      </c>
      <c r="L41" s="591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8" t="e">
        <f t="shared" si="1"/>
        <v>#N/A</v>
      </c>
      <c r="Z41" s="599"/>
      <c r="AA41" s="597" t="e">
        <f t="shared" si="5"/>
        <v>#DIV/0!</v>
      </c>
      <c r="AB41" s="507" t="s">
        <v>13</v>
      </c>
      <c r="AC41" s="610">
        <v>9.6100000000000005E-3</v>
      </c>
      <c r="AD41" s="601" t="str">
        <f>IF($K$41="Sube",IF(ISERROR(Y41/$L$41)=TRUE,"",IF(Y41&gt;$L$41,AC41,Y41/$L$41*AC41)),IF(ISERROR($L$41/Y41)=TRUE,"",IF($L$41&lt;Y41,$L$41/Y41*AC41,AC41)))</f>
        <v/>
      </c>
      <c r="AE41" s="602" t="str">
        <f>IF($K$41="Sube",IF(ISERROR(Y41/$L$41)=TRUE,"",IF(Y41&gt;=$L$41,1,0)),IF(ISERROR($L$41/Y41)=TRUE,"",IF($L$41&lt;Y41,0,1)))</f>
        <v/>
      </c>
      <c r="AF41" s="656"/>
      <c r="AG41" s="650"/>
      <c r="AH41" s="138"/>
      <c r="AP41" s="64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4"/>
      <c r="BD41" s="64"/>
      <c r="BE41" s="64"/>
    </row>
    <row r="42" spans="1:57" ht="33.75" customHeight="1" x14ac:dyDescent="0.25">
      <c r="A42" s="732"/>
      <c r="B42" s="487" t="e">
        <f t="shared" si="4"/>
        <v>#REF!</v>
      </c>
      <c r="C42" s="466" t="s">
        <v>292</v>
      </c>
      <c r="D42" s="466" t="s">
        <v>121</v>
      </c>
      <c r="E42" s="168"/>
      <c r="F42" s="169"/>
      <c r="G42" s="466" t="s">
        <v>293</v>
      </c>
      <c r="H42" s="466" t="s">
        <v>294</v>
      </c>
      <c r="I42" s="550">
        <v>1</v>
      </c>
      <c r="J42" s="512" t="s">
        <v>108</v>
      </c>
      <c r="K42" s="501" t="s">
        <v>100</v>
      </c>
      <c r="L42" s="591">
        <v>1</v>
      </c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8" t="e">
        <f t="shared" si="1"/>
        <v>#N/A</v>
      </c>
      <c r="Z42" s="599"/>
      <c r="AA42" s="597" t="e">
        <f t="shared" si="5"/>
        <v>#DIV/0!</v>
      </c>
      <c r="AB42" s="507" t="s">
        <v>13</v>
      </c>
      <c r="AC42" s="610">
        <v>9.6100000000000005E-3</v>
      </c>
      <c r="AD42" s="601" t="str">
        <f>IF($K$42="Sube",IF(ISERROR(Y42/$L$42)=TRUE,"",IF(Y42&gt;$L$42,AC42,Y42/$L$42*AC42)),IF(ISERROR($L$42/Y42)=TRUE,"",IF($L$42&lt;Y42,$L$42/Y42*AC42,AC42)))</f>
        <v/>
      </c>
      <c r="AE42" s="602" t="str">
        <f>IF($K$42="Sube",IF(ISERROR(Y42/$L$42)=TRUE,"",IF(Y42&gt;=$L$42,1,0)),IF(ISERROR($L$42/Y42)=TRUE,"",IF($L$42&lt;Y42,0,1)))</f>
        <v/>
      </c>
      <c r="AF42" s="656"/>
      <c r="AG42" s="650"/>
      <c r="AH42" s="138"/>
      <c r="AP42" s="64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4"/>
      <c r="BD42" s="64"/>
      <c r="BE42" s="64"/>
    </row>
    <row r="43" spans="1:57" ht="38.25" x14ac:dyDescent="0.25">
      <c r="A43" s="732"/>
      <c r="B43" s="487" t="e">
        <f t="shared" si="4"/>
        <v>#REF!</v>
      </c>
      <c r="C43" s="466" t="s">
        <v>295</v>
      </c>
      <c r="D43" s="466" t="s">
        <v>121</v>
      </c>
      <c r="E43" s="169"/>
      <c r="F43" s="169"/>
      <c r="G43" s="466" t="s">
        <v>296</v>
      </c>
      <c r="H43" s="466" t="s">
        <v>297</v>
      </c>
      <c r="I43" s="512" t="s">
        <v>317</v>
      </c>
      <c r="J43" s="500" t="s">
        <v>146</v>
      </c>
      <c r="K43" s="501" t="s">
        <v>100</v>
      </c>
      <c r="L43" s="591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8" t="e">
        <f t="shared" si="1"/>
        <v>#N/A</v>
      </c>
      <c r="Z43" s="599"/>
      <c r="AA43" s="597" t="e">
        <f t="shared" si="5"/>
        <v>#DIV/0!</v>
      </c>
      <c r="AB43" s="507" t="s">
        <v>13</v>
      </c>
      <c r="AC43" s="610">
        <v>9.6100000000000005E-3</v>
      </c>
      <c r="AD43" s="601" t="str">
        <f>IF($K$43="Sube",IF(ISERROR(Y43/$L$43)=TRUE,"",IF(Y43&gt;$L$43,AC43,Y43/$L$43*AC43)),IF(ISERROR($L$43/Y43)=TRUE,"",IF($L$43&lt;Y43,$L$43/Y43*AC43,AC43)))</f>
        <v/>
      </c>
      <c r="AE43" s="602" t="str">
        <f>IF($K$43="Sube",IF(ISERROR(Y43/$L$43)=TRUE,"",IF(Y43&gt;=$L$43,1,0)),IF(ISERROR($L$43/Y43)=TRUE,"",IF($L$43&lt;Y43,0,1)))</f>
        <v/>
      </c>
      <c r="AF43" s="656"/>
      <c r="AG43" s="650"/>
      <c r="AH43" s="138"/>
      <c r="AP43" s="64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4"/>
      <c r="BD43" s="64"/>
      <c r="BE43" s="64"/>
    </row>
    <row r="44" spans="1:57" ht="26.25" thickBot="1" x14ac:dyDescent="0.3">
      <c r="A44" s="731"/>
      <c r="B44" s="473"/>
      <c r="C44" s="488" t="s">
        <v>298</v>
      </c>
      <c r="D44" s="488" t="s">
        <v>121</v>
      </c>
      <c r="E44" s="489"/>
      <c r="F44" s="489"/>
      <c r="G44" s="490" t="s">
        <v>299</v>
      </c>
      <c r="H44" s="490" t="s">
        <v>300</v>
      </c>
      <c r="I44" s="551">
        <v>1</v>
      </c>
      <c r="J44" s="622" t="s">
        <v>146</v>
      </c>
      <c r="K44" s="611" t="s">
        <v>141</v>
      </c>
      <c r="L44" s="592">
        <v>1</v>
      </c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4"/>
      <c r="AA44" s="612"/>
      <c r="AB44" s="615"/>
      <c r="AC44" s="616"/>
      <c r="AD44" s="617"/>
      <c r="AE44" s="618"/>
      <c r="AF44" s="659"/>
      <c r="AG44" s="652"/>
      <c r="AH44" s="479"/>
      <c r="AP44" s="64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4"/>
      <c r="BD44" s="64"/>
      <c r="BE44" s="64"/>
    </row>
    <row r="45" spans="1:57" s="4" customFormat="1" ht="26.25" thickBot="1" x14ac:dyDescent="0.3">
      <c r="A45" s="491" t="s">
        <v>80</v>
      </c>
      <c r="B45" s="492" t="e">
        <f>+#REF!+1</f>
        <v>#REF!</v>
      </c>
      <c r="C45" s="493" t="s">
        <v>139</v>
      </c>
      <c r="D45" s="493" t="s">
        <v>121</v>
      </c>
      <c r="E45" s="494"/>
      <c r="F45" s="494"/>
      <c r="G45" s="493" t="s">
        <v>301</v>
      </c>
      <c r="H45" s="493" t="s">
        <v>302</v>
      </c>
      <c r="I45" s="513"/>
      <c r="J45" s="623" t="s">
        <v>145</v>
      </c>
      <c r="K45" s="624" t="s">
        <v>100</v>
      </c>
      <c r="L45" s="593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5"/>
      <c r="Y45" s="626" t="e">
        <f t="shared" si="1"/>
        <v>#N/A</v>
      </c>
      <c r="Z45" s="627"/>
      <c r="AA45" s="625" t="e">
        <f t="shared" si="5"/>
        <v>#DIV/0!</v>
      </c>
      <c r="AB45" s="628" t="s">
        <v>13</v>
      </c>
      <c r="AC45" s="629">
        <v>9.6100000000000005E-3</v>
      </c>
      <c r="AD45" s="630" t="str">
        <f>IF($K$45="Sube",IF(ISERROR(Y45/$L$45)=TRUE,"",IF(Y45&gt;$L$45,AC45,Y45/$L$45*AC45)),IF(ISERROR($L$45/Y45)=TRUE,"",IF($L$45&lt;Y45,$L$45/Y45*AC45,AC45)))</f>
        <v/>
      </c>
      <c r="AE45" s="631" t="str">
        <f>IF($K$45="Sube",IF(ISERROR(Y45/$L$45)=TRUE,"",IF(Y45&gt;=$L$45,1,0)),IF(ISERROR($L$45/Y45)=TRUE,"",IF($L$45&lt;Y45,0,1)))</f>
        <v/>
      </c>
      <c r="AF45" s="663"/>
      <c r="AG45" s="654"/>
      <c r="AH45" s="494"/>
      <c r="AI45" s="646"/>
      <c r="AP45" s="64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4"/>
      <c r="BD45" s="64"/>
      <c r="BE45" s="64"/>
    </row>
    <row r="46" spans="1:57" ht="25.5" x14ac:dyDescent="0.25">
      <c r="A46" s="730" t="s">
        <v>81</v>
      </c>
      <c r="B46" s="561" t="e">
        <f>+#REF!+1</f>
        <v>#REF!</v>
      </c>
      <c r="C46" s="443" t="s">
        <v>303</v>
      </c>
      <c r="D46" s="444" t="s">
        <v>114</v>
      </c>
      <c r="E46" s="127"/>
      <c r="F46" s="127"/>
      <c r="G46" s="444" t="s">
        <v>304</v>
      </c>
      <c r="H46" s="444" t="s">
        <v>305</v>
      </c>
      <c r="I46" s="505"/>
      <c r="J46" s="498" t="s">
        <v>147</v>
      </c>
      <c r="K46" s="499" t="s">
        <v>141</v>
      </c>
      <c r="L46" s="565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67" t="e">
        <f t="shared" si="1"/>
        <v>#N/A</v>
      </c>
      <c r="Z46" s="568"/>
      <c r="AA46" s="566" t="e">
        <f t="shared" si="5"/>
        <v>#DIV/0!</v>
      </c>
      <c r="AB46" s="569" t="s">
        <v>13</v>
      </c>
      <c r="AC46" s="570">
        <v>9.6100000000000005E-3</v>
      </c>
      <c r="AD46" s="571" t="str">
        <f>IF($K$46="Sube",IF(ISERROR(Y46/$L$46)=TRUE,"",IF(Y46&gt;$L$46,AC46,Y46/$L$46*AC46)),IF(ISERROR($L$46/Y46)=TRUE,"",IF($L$46&lt;Y46,$L$46/Y46*AC46,AC46)))</f>
        <v/>
      </c>
      <c r="AE46" s="572" t="str">
        <f>IF($K$46="Sube",IF(ISERROR(Y46/$L$46)=TRUE,"",IF(Y46&gt;=$L$46,1,0)),IF(ISERROR($L$46/Y46)=TRUE,"",IF($L$46&lt;Y46,0,1)))</f>
        <v/>
      </c>
      <c r="AF46" s="655"/>
      <c r="AG46" s="463"/>
      <c r="AH46" s="137"/>
      <c r="AP46" s="64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4"/>
      <c r="BD46" s="64"/>
      <c r="BE46" s="64"/>
    </row>
    <row r="47" spans="1:57" ht="25.5" x14ac:dyDescent="0.25">
      <c r="A47" s="732"/>
      <c r="B47" s="562" t="e">
        <f t="shared" si="4"/>
        <v>#REF!</v>
      </c>
      <c r="C47" s="449" t="s">
        <v>306</v>
      </c>
      <c r="D47" s="449" t="s">
        <v>121</v>
      </c>
      <c r="E47" s="61"/>
      <c r="F47" s="61"/>
      <c r="G47" s="449" t="s">
        <v>307</v>
      </c>
      <c r="H47" s="449" t="s">
        <v>308</v>
      </c>
      <c r="I47" s="508"/>
      <c r="J47" s="500" t="s">
        <v>147</v>
      </c>
      <c r="K47" s="501" t="s">
        <v>100</v>
      </c>
      <c r="L47" s="591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8" t="e">
        <f t="shared" si="1"/>
        <v>#N/A</v>
      </c>
      <c r="Z47" s="599"/>
      <c r="AA47" s="597" t="e">
        <f t="shared" si="5"/>
        <v>#DIV/0!</v>
      </c>
      <c r="AB47" s="507" t="s">
        <v>13</v>
      </c>
      <c r="AC47" s="610">
        <v>9.6100000000000005E-3</v>
      </c>
      <c r="AD47" s="601" t="str">
        <f>IF($K$47="Sube",IF(ISERROR(Y47/$L$47)=TRUE,"",IF(Y47&gt;$L$47,AC47,Y47/$L$47*AC47)),IF(ISERROR($L$47/Y47)=TRUE,"",IF($L$47&lt;Y47,$L$47/Y47*AC47,AC47)))</f>
        <v/>
      </c>
      <c r="AE47" s="602" t="str">
        <f>IF($K$47="Sube",IF(ISERROR(Y47/$L$47)=TRUE,"",IF(Y47&gt;=$L$47,1,0)),IF(ISERROR($L$47/Y47)=TRUE,"",IF($L$47&lt;Y47,0,1)))</f>
        <v/>
      </c>
      <c r="AF47" s="656"/>
      <c r="AG47" s="650"/>
      <c r="AH47" s="138"/>
      <c r="AP47" s="64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4"/>
      <c r="BD47" s="64"/>
      <c r="BE47" s="64"/>
    </row>
    <row r="48" spans="1:57" ht="30.75" thickBot="1" x14ac:dyDescent="0.3">
      <c r="A48" s="731"/>
      <c r="B48" s="139" t="e">
        <f t="shared" si="4"/>
        <v>#REF!</v>
      </c>
      <c r="C48" s="458" t="s">
        <v>140</v>
      </c>
      <c r="D48" s="458" t="s">
        <v>112</v>
      </c>
      <c r="E48" s="150"/>
      <c r="F48" s="150"/>
      <c r="G48" s="272" t="s">
        <v>190</v>
      </c>
      <c r="H48" s="272" t="s">
        <v>173</v>
      </c>
      <c r="I48" s="522">
        <f>+'Tablero Estratégico'!AF23</f>
        <v>1.0374939776423666</v>
      </c>
      <c r="J48" s="579" t="s">
        <v>147</v>
      </c>
      <c r="K48" s="580" t="s">
        <v>100</v>
      </c>
      <c r="L48" s="581" t="str">
        <f>+'Tablero Estratégico'!AG23</f>
        <v>≥  1,00</v>
      </c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3"/>
      <c r="Z48" s="584"/>
      <c r="AA48" s="582"/>
      <c r="AB48" s="585"/>
      <c r="AC48" s="586"/>
      <c r="AD48" s="587"/>
      <c r="AE48" s="588"/>
      <c r="AF48" s="660"/>
      <c r="AG48" s="482"/>
      <c r="AH48" s="151"/>
      <c r="AP48" s="64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4"/>
      <c r="BD48" s="64"/>
      <c r="BE48" s="64"/>
    </row>
    <row r="49" spans="1:58" ht="38.25" x14ac:dyDescent="0.25">
      <c r="A49" s="715" t="s">
        <v>309</v>
      </c>
      <c r="B49" s="633" t="e">
        <f>+#REF!+1</f>
        <v>#REF!</v>
      </c>
      <c r="C49" s="634" t="s">
        <v>353</v>
      </c>
      <c r="D49" s="115" t="s">
        <v>113</v>
      </c>
      <c r="E49" s="116"/>
      <c r="F49" s="116"/>
      <c r="G49" s="117" t="s">
        <v>310</v>
      </c>
      <c r="H49" s="117" t="s">
        <v>311</v>
      </c>
      <c r="I49" s="635" t="s">
        <v>317</v>
      </c>
      <c r="J49" s="636" t="s">
        <v>108</v>
      </c>
      <c r="K49" s="637" t="s">
        <v>100</v>
      </c>
      <c r="L49" s="638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40"/>
      <c r="Z49" s="641"/>
      <c r="AA49" s="639"/>
      <c r="AB49" s="642"/>
      <c r="AC49" s="643"/>
      <c r="AD49" s="644"/>
      <c r="AE49" s="645"/>
      <c r="AF49" s="664"/>
      <c r="AG49" s="650"/>
      <c r="AH49" s="138"/>
      <c r="AP49" s="64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4"/>
      <c r="BD49" s="64"/>
      <c r="BE49" s="64"/>
    </row>
    <row r="50" spans="1:58" ht="39" thickBot="1" x14ac:dyDescent="0.3">
      <c r="A50" s="716"/>
      <c r="B50" s="495"/>
      <c r="C50" s="459" t="s">
        <v>312</v>
      </c>
      <c r="D50" s="140" t="s">
        <v>113</v>
      </c>
      <c r="E50" s="150"/>
      <c r="F50" s="150"/>
      <c r="G50" s="141" t="s">
        <v>313</v>
      </c>
      <c r="H50" s="141" t="s">
        <v>314</v>
      </c>
      <c r="I50" s="510" t="s">
        <v>317</v>
      </c>
      <c r="J50" s="632" t="s">
        <v>108</v>
      </c>
      <c r="K50" s="580" t="s">
        <v>100</v>
      </c>
      <c r="L50" s="581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3"/>
      <c r="Z50" s="584"/>
      <c r="AA50" s="582"/>
      <c r="AB50" s="585"/>
      <c r="AC50" s="586"/>
      <c r="AD50" s="587"/>
      <c r="AE50" s="588"/>
      <c r="AF50" s="660"/>
      <c r="AG50" s="482"/>
      <c r="AH50" s="151"/>
      <c r="AP50" s="64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4"/>
      <c r="BD50" s="64"/>
      <c r="BE50" s="64"/>
    </row>
    <row r="51" spans="1:58" ht="15.75" thickBot="1" x14ac:dyDescent="0.3">
      <c r="L51" s="594"/>
      <c r="AB51" s="70" t="s">
        <v>14</v>
      </c>
      <c r="AC51" s="80">
        <f>SUM(AC8:AC50)</f>
        <v>0.3363500000000002</v>
      </c>
      <c r="AD51" s="79">
        <f>SUMIFS(AD8:AD50,AB8:AB50,"Si")/SUMIFS(AC8:AC50,AB8:AB50,"Si")</f>
        <v>0</v>
      </c>
      <c r="AE51" s="71">
        <f>SUMIFS(AE8:AE50,AB8:AB50,"Si")/AB53</f>
        <v>0</v>
      </c>
      <c r="AF51" s="496"/>
      <c r="AQ51" s="64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64"/>
      <c r="BF51" s="64"/>
    </row>
    <row r="52" spans="1:58" ht="38.25" x14ac:dyDescent="0.25">
      <c r="L52" s="594"/>
      <c r="AB52" s="22" t="s">
        <v>15</v>
      </c>
      <c r="AC52" s="441" t="s">
        <v>16</v>
      </c>
      <c r="AD52" s="23" t="s">
        <v>17</v>
      </c>
      <c r="AG52" s="19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</row>
    <row r="53" spans="1:58" ht="15.75" thickBot="1" x14ac:dyDescent="0.3">
      <c r="G53" s="63"/>
      <c r="L53" s="594"/>
      <c r="AB53" s="24">
        <f>COUNTIF(AB8:AB50,"Si")</f>
        <v>35</v>
      </c>
      <c r="AC53" s="25">
        <f>COUNT(Y8:Y50)</f>
        <v>0</v>
      </c>
      <c r="AD53" s="26">
        <f>AC53/AB53</f>
        <v>0</v>
      </c>
      <c r="AG53" s="19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</row>
    <row r="54" spans="1:58" x14ac:dyDescent="0.25">
      <c r="L54" s="594"/>
      <c r="AB54" s="1"/>
      <c r="AC54" s="2"/>
      <c r="AD54" s="2"/>
      <c r="AG54" s="1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</row>
    <row r="55" spans="1:58" x14ac:dyDescent="0.25">
      <c r="L55" s="594"/>
      <c r="AB55" s="27" t="s">
        <v>18</v>
      </c>
      <c r="AC55" s="28" t="s">
        <v>19</v>
      </c>
      <c r="AD55" s="2"/>
      <c r="AG55" s="1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</row>
    <row r="56" spans="1:58" x14ac:dyDescent="0.25">
      <c r="L56" s="594"/>
      <c r="AB56" s="29" t="s">
        <v>20</v>
      </c>
      <c r="AC56" s="30" t="s">
        <v>21</v>
      </c>
      <c r="AD56" s="2"/>
      <c r="AG56" s="1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</row>
    <row r="57" spans="1:58" ht="25.5" x14ac:dyDescent="0.25">
      <c r="L57" s="594"/>
      <c r="AB57" s="31" t="s">
        <v>22</v>
      </c>
      <c r="AC57" s="32" t="s">
        <v>23</v>
      </c>
      <c r="AD57" s="2"/>
      <c r="AG57" s="1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</row>
    <row r="58" spans="1:58" x14ac:dyDescent="0.25">
      <c r="L58" s="594"/>
    </row>
    <row r="59" spans="1:58" x14ac:dyDescent="0.25">
      <c r="L59" s="594"/>
    </row>
  </sheetData>
  <mergeCells count="18">
    <mergeCell ref="AC1:AD3"/>
    <mergeCell ref="D4:AB5"/>
    <mergeCell ref="AC4:AD4"/>
    <mergeCell ref="AC5:AD5"/>
    <mergeCell ref="A33:A34"/>
    <mergeCell ref="A8:A12"/>
    <mergeCell ref="A17:A22"/>
    <mergeCell ref="A23:A25"/>
    <mergeCell ref="A26:A29"/>
    <mergeCell ref="A30:A32"/>
    <mergeCell ref="A13:A16"/>
    <mergeCell ref="A49:A50"/>
    <mergeCell ref="A1:C5"/>
    <mergeCell ref="D1:AB3"/>
    <mergeCell ref="A35:A36"/>
    <mergeCell ref="A37:A38"/>
    <mergeCell ref="A39:A44"/>
    <mergeCell ref="A46:A48"/>
  </mergeCells>
  <conditionalFormatting sqref="AD51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E51:AF51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B8:AB50">
      <formula1>"Si,No"</formula1>
    </dataValidation>
    <dataValidation type="list" allowBlank="1" showInputMessage="1" showErrorMessage="1" sqref="K8:K50">
      <formula1>"Sube,Baja,Tendencia Media"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Efectividad'!M30:X30</xm:f>
              <xm:sqref>Z30</xm:sqref>
            </x14:sparkline>
            <x14:sparkline>
              <xm:f>'Tablero Eficacia - Efectividad'!M31:X31</xm:f>
              <xm:sqref>Z31</xm:sqref>
            </x14:sparkline>
            <x14:sparkline>
              <xm:f>'Tablero Eficacia - Efectividad'!M32:X32</xm:f>
              <xm:sqref>Z32</xm:sqref>
            </x14:sparkline>
            <x14:sparkline>
              <xm:f>'Tablero Eficacia - Efectividad'!M33:X33</xm:f>
              <xm:sqref>Z33</xm:sqref>
            </x14:sparkline>
            <x14:sparkline>
              <xm:f>'Tablero Eficacia - Efectividad'!M34:X34</xm:f>
              <xm:sqref>Z34</xm:sqref>
            </x14:sparkline>
            <x14:sparkline>
              <xm:f>'Tablero Eficacia - Efectividad'!M35:X35</xm:f>
              <xm:sqref>Z35</xm:sqref>
            </x14:sparkline>
            <x14:sparkline>
              <xm:f>'Tablero Eficacia - Efectividad'!M36:X36</xm:f>
              <xm:sqref>Z36</xm:sqref>
            </x14:sparkline>
            <x14:sparkline>
              <xm:f>'Tablero Eficacia - Efectividad'!M37:X37</xm:f>
              <xm:sqref>Z37</xm:sqref>
            </x14:sparkline>
            <x14:sparkline>
              <xm:f>'Tablero Eficacia - Efectividad'!M38:X38</xm:f>
              <xm:sqref>Z38</xm:sqref>
            </x14:sparkline>
            <x14:sparkline>
              <xm:f>'Tablero Eficacia - Efectividad'!M39:X39</xm:f>
              <xm:sqref>Z39</xm:sqref>
            </x14:sparkline>
            <x14:sparkline>
              <xm:f>'Tablero Eficacia - Efectividad'!M40:X40</xm:f>
              <xm:sqref>Z40</xm:sqref>
            </x14:sparkline>
            <x14:sparkline>
              <xm:f>'Tablero Eficacia - Efectividad'!M41:X41</xm:f>
              <xm:sqref>Z41</xm:sqref>
            </x14:sparkline>
            <x14:sparkline>
              <xm:f>'Tablero Eficacia - Efectividad'!M42:X42</xm:f>
              <xm:sqref>Z42</xm:sqref>
            </x14:sparkline>
            <x14:sparkline>
              <xm:f>'Tablero Eficacia - Efectividad'!M43:X43</xm:f>
              <xm:sqref>Z43</xm:sqref>
            </x14:sparkline>
            <x14:sparkline>
              <xm:f>'Tablero Eficacia - Efectividad'!M44:X44</xm:f>
              <xm:sqref>Z44</xm:sqref>
            </x14:sparkline>
            <x14:sparkline>
              <xm:f>'Tablero Eficacia - Efectividad'!M45:X45</xm:f>
              <xm:sqref>Z45</xm:sqref>
            </x14:sparkline>
            <x14:sparkline>
              <xm:f>'Tablero Eficacia - Efectividad'!M46:X46</xm:f>
              <xm:sqref>Z46</xm:sqref>
            </x14:sparkline>
            <x14:sparkline>
              <xm:f>'Tablero Eficacia - Efectividad'!M47:X47</xm:f>
              <xm:sqref>Z47</xm:sqref>
            </x14:sparkline>
            <x14:sparkline>
              <xm:f>'Tablero Eficacia - Efectividad'!M48:X48</xm:f>
              <xm:sqref>Z48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Efectividad'!M49:X49</xm:f>
              <xm:sqref>Z49</xm:sqref>
            </x14:sparkline>
            <x14:sparkline>
              <xm:f>'Tablero Eficacia - Efectividad'!M50:X50</xm:f>
              <xm:sqref>Z50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Efectividad'!M8:X8</xm:f>
              <xm:sqref>Z8</xm:sqref>
            </x14:sparkline>
            <x14:sparkline>
              <xm:f>'Tablero Eficacia - Efectividad'!M10:X10</xm:f>
              <xm:sqref>Z10</xm:sqref>
            </x14:sparkline>
            <x14:sparkline>
              <xm:f>'Tablero Eficacia - Efectividad'!M11:X11</xm:f>
              <xm:sqref>Z11</xm:sqref>
            </x14:sparkline>
            <x14:sparkline>
              <xm:f>'Tablero Eficacia - Efectividad'!M12:X12</xm:f>
              <xm:sqref>Z12</xm:sqref>
            </x14:sparkline>
            <x14:sparkline>
              <xm:f>'Tablero Eficacia - Efectividad'!M13:X13</xm:f>
              <xm:sqref>Z13</xm:sqref>
            </x14:sparkline>
            <x14:sparkline>
              <xm:f>'Tablero Eficacia - Efectividad'!M14:X14</xm:f>
              <xm:sqref>Z14</xm:sqref>
            </x14:sparkline>
            <x14:sparkline>
              <xm:f>'Tablero Eficacia - Efectividad'!M15:X15</xm:f>
              <xm:sqref>Z15</xm:sqref>
            </x14:sparkline>
            <x14:sparkline>
              <xm:f>'Tablero Eficacia - Efectividad'!M16:X16</xm:f>
              <xm:sqref>Z16</xm:sqref>
            </x14:sparkline>
            <x14:sparkline>
              <xm:f>'Tablero Eficacia - Efectividad'!M17:X17</xm:f>
              <xm:sqref>Z17</xm:sqref>
            </x14:sparkline>
            <x14:sparkline>
              <xm:f>'Tablero Eficacia - Efectividad'!M18:X18</xm:f>
              <xm:sqref>Z18</xm:sqref>
            </x14:sparkline>
            <x14:sparkline>
              <xm:f>'Tablero Eficacia - Efectividad'!M19:X19</xm:f>
              <xm:sqref>Z19</xm:sqref>
            </x14:sparkline>
            <x14:sparkline>
              <xm:f>'Tablero Eficacia - Efectividad'!M21:X21</xm:f>
              <xm:sqref>Z21</xm:sqref>
            </x14:sparkline>
            <x14:sparkline>
              <xm:f>'Tablero Eficacia - Efectividad'!M22:X22</xm:f>
              <xm:sqref>Z22</xm:sqref>
            </x14:sparkline>
            <x14:sparkline>
              <xm:f>'Tablero Eficacia - Efectividad'!M23:X23</xm:f>
              <xm:sqref>Z23</xm:sqref>
            </x14:sparkline>
            <x14:sparkline>
              <xm:f>'Tablero Eficacia - Efectividad'!M24:X24</xm:f>
              <xm:sqref>Z24</xm:sqref>
            </x14:sparkline>
            <x14:sparkline>
              <xm:f>'Tablero Eficacia - Efectividad'!M25:X25</xm:f>
              <xm:sqref>Z25</xm:sqref>
            </x14:sparkline>
            <x14:sparkline>
              <xm:f>'Tablero Eficacia - Efectividad'!M26:X26</xm:f>
              <xm:sqref>Z26</xm:sqref>
            </x14:sparkline>
            <x14:sparkline>
              <xm:f>'Tablero Eficacia - Efectividad'!M27:X27</xm:f>
              <xm:sqref>Z27</xm:sqref>
            </x14:sparkline>
            <x14:sparkline>
              <xm:f>'Tablero Eficacia - Efectividad'!M28:X28</xm:f>
              <xm:sqref>Z28</xm:sqref>
            </x14:sparkline>
            <x14:sparkline>
              <xm:f>'Tablero Eficacia - Efectividad'!M29:X29</xm:f>
              <xm:sqref>Z29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Efectividad'!M9:X9</xm:f>
              <xm:sqref>Z9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Efectividad'!M20:X20</xm:f>
              <xm:sqref>Z20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8"/>
  <sheetViews>
    <sheetView topLeftCell="B2" zoomScale="80" zoomScaleNormal="80" workbookViewId="0">
      <pane ySplit="2" topLeftCell="A8" activePane="bottomLeft" state="frozen"/>
      <selection activeCell="A2" sqref="A2"/>
      <selection pane="bottomLeft" activeCell="E24" sqref="E24"/>
    </sheetView>
  </sheetViews>
  <sheetFormatPr baseColWidth="10" defaultColWidth="11.42578125" defaultRowHeight="15" x14ac:dyDescent="0.25"/>
  <cols>
    <col min="2" max="2" width="13.42578125" customWidth="1"/>
    <col min="3" max="3" width="75.28515625" customWidth="1"/>
    <col min="4" max="4" width="67.5703125" customWidth="1"/>
    <col min="5" max="5" width="54.42578125" style="484" bestFit="1" customWidth="1"/>
    <col min="6" max="6" width="10.5703125" customWidth="1"/>
  </cols>
  <sheetData>
    <row r="2" spans="3:6" ht="15.75" thickBot="1" x14ac:dyDescent="0.3"/>
    <row r="3" spans="3:6" ht="15.75" thickBot="1" x14ac:dyDescent="0.3">
      <c r="C3" s="233" t="s">
        <v>332</v>
      </c>
      <c r="D3" s="518" t="s">
        <v>331</v>
      </c>
      <c r="E3" s="518" t="s">
        <v>333</v>
      </c>
      <c r="F3" s="528" t="s">
        <v>40</v>
      </c>
    </row>
    <row r="4" spans="3:6" ht="28.5" customHeight="1" x14ac:dyDescent="0.25">
      <c r="C4" s="752" t="s">
        <v>324</v>
      </c>
      <c r="D4" s="530" t="str">
        <f>+'Tablero Eficacia - Efectividad'!C31</f>
        <v xml:space="preserve">Beneficiados de actividad </v>
      </c>
      <c r="E4" s="531" t="str">
        <f>+'Tablero Eficacia - Efectividad'!I31</f>
        <v>No tiene, es la primera vez que se mide este impacto</v>
      </c>
      <c r="F4" s="543">
        <f>+'Tablero Eficacia - Efectividad'!L31</f>
        <v>0</v>
      </c>
    </row>
    <row r="5" spans="3:6" ht="27" customHeight="1" thickBot="1" x14ac:dyDescent="0.3">
      <c r="C5" s="753"/>
      <c r="D5" s="532" t="str">
        <f>+'Tablero Eficacia - Efectividad'!C32</f>
        <v>Actividades de formación integral</v>
      </c>
      <c r="E5" s="553">
        <f>+'Tablero Eficacia - Efectividad'!I32</f>
        <v>0.98</v>
      </c>
      <c r="F5" s="542">
        <f>+'Tablero Eficacia - Efectividad'!L32</f>
        <v>1</v>
      </c>
    </row>
    <row r="6" spans="3:6" ht="38.25" customHeight="1" x14ac:dyDescent="0.25">
      <c r="C6" s="752" t="s">
        <v>325</v>
      </c>
      <c r="D6" s="530" t="str">
        <f>+'Tablero Eficacia - Efectividad'!C9</f>
        <v xml:space="preserve">Variación de pruebas saber pro </v>
      </c>
      <c r="E6" s="529" t="str">
        <f>+'Tablero Eficacia - Efectividad'!I9</f>
        <v>9.9925(2016)/9,9204(2015)</v>
      </c>
      <c r="F6" s="547">
        <f>+'Tablero Eficacia - Efectividad'!L9</f>
        <v>7.2678521027376153E-3</v>
      </c>
    </row>
    <row r="7" spans="3:6" x14ac:dyDescent="0.25">
      <c r="C7" s="754"/>
      <c r="D7" s="527" t="str">
        <f>+'Tablero Eficacia - Efectividad'!C10</f>
        <v>Índice de empleabilidad</v>
      </c>
      <c r="E7" s="523" t="str">
        <f>+'Tablero Eficacia - Efectividad'!I10</f>
        <v>95,7% (Medición del 2015, no hay datos 2016)</v>
      </c>
      <c r="F7" s="541" t="str">
        <f>+'Tablero Eficacia - Efectividad'!L10</f>
        <v>&gt;= 96%</v>
      </c>
    </row>
    <row r="8" spans="3:6" x14ac:dyDescent="0.25">
      <c r="C8" s="754"/>
      <c r="D8" s="527" t="str">
        <f>+'Tablero Eficacia - Efectividad'!C13</f>
        <v>Satisfacción de los cursos de extensión</v>
      </c>
      <c r="E8" s="524" t="str">
        <f>+'Tablero Eficacia - Efectividad'!I13</f>
        <v>No tiene, es la primera vez que se mide este impacto</v>
      </c>
      <c r="F8" s="541">
        <f>+'Tablero Eficacia - Efectividad'!L13</f>
        <v>0</v>
      </c>
    </row>
    <row r="9" spans="3:6" x14ac:dyDescent="0.25">
      <c r="C9" s="754"/>
      <c r="D9" s="527" t="str">
        <f>+'Tablero Eficacia - Efectividad'!C15</f>
        <v>Permanencia en los cursos de extensión</v>
      </c>
      <c r="E9" s="524" t="str">
        <f>+'Tablero Eficacia - Efectividad'!I15</f>
        <v>No tiene, es la primera vez que se mide este impacto</v>
      </c>
      <c r="F9" s="541">
        <f>+'Tablero Eficacia - Efectividad'!L15</f>
        <v>0</v>
      </c>
    </row>
    <row r="10" spans="3:6" x14ac:dyDescent="0.25">
      <c r="C10" s="754"/>
      <c r="D10" s="527" t="str">
        <f>+'Tablero Eficacia - Efectividad'!C17</f>
        <v xml:space="preserve">Trabajos de grado con reconocimiento </v>
      </c>
      <c r="E10" s="524" t="str">
        <f>+'Tablero Eficacia - Efectividad'!I17</f>
        <v>No tiene, es la primera vez que se mide este impacto</v>
      </c>
      <c r="F10" s="541">
        <f>+'Tablero Eficacia - Efectividad'!L17</f>
        <v>1</v>
      </c>
    </row>
    <row r="11" spans="3:6" x14ac:dyDescent="0.25">
      <c r="C11" s="754"/>
      <c r="D11" s="527" t="str">
        <f>+'Tablero Eficacia - Efectividad'!C20</f>
        <v>Revisión de syllabus</v>
      </c>
      <c r="E11" s="525" t="str">
        <f>+'Tablero Eficacia - Efectividad'!I20</f>
        <v>75% (11/15)</v>
      </c>
      <c r="F11" s="541">
        <f>+'Tablero Eficacia - Efectividad'!L20</f>
        <v>0.9</v>
      </c>
    </row>
    <row r="12" spans="3:6" x14ac:dyDescent="0.25">
      <c r="C12" s="754"/>
      <c r="D12" s="533" t="str">
        <f>+'Tablero Eficacia - Efectividad'!C23</f>
        <v>Rendimiento académico periódico</v>
      </c>
      <c r="E12" s="524" t="str">
        <f>+'Tablero Eficacia - Efectividad'!I23</f>
        <v>No tiene, es la primera vez que se mide este impacto</v>
      </c>
      <c r="F12" s="541">
        <f>+'Tablero Eficacia - Efectividad'!L23</f>
        <v>0</v>
      </c>
    </row>
    <row r="13" spans="3:6" x14ac:dyDescent="0.25">
      <c r="C13" s="754"/>
      <c r="D13" s="533" t="str">
        <f>+'Tablero Eficacia - Efectividad'!C24</f>
        <v xml:space="preserve">Promoción escolar </v>
      </c>
      <c r="E13" s="523">
        <f>+'Tablero Eficacia - Efectividad'!I24</f>
        <v>0.8571428571428571</v>
      </c>
      <c r="F13" s="541">
        <f>+'Tablero Eficacia - Efectividad'!L24</f>
        <v>0.87</v>
      </c>
    </row>
    <row r="14" spans="3:6" ht="15.75" thickBot="1" x14ac:dyDescent="0.3">
      <c r="C14" s="753"/>
      <c r="D14" s="534" t="str">
        <f>+'Tablero Eficacia - Efectividad'!C25</f>
        <v xml:space="preserve">Desempeño pruebas saber </v>
      </c>
      <c r="E14" s="548">
        <f>+'Tablero Eficacia - Efectividad'!I25</f>
        <v>-0.23424570337364736</v>
      </c>
      <c r="F14" s="542">
        <f>+'Tablero Eficacia - Efectividad'!L25</f>
        <v>-0.2</v>
      </c>
    </row>
    <row r="15" spans="3:6" x14ac:dyDescent="0.25">
      <c r="C15" s="749" t="s">
        <v>326</v>
      </c>
      <c r="D15" s="536" t="str">
        <f>+'Tablero Eficacia - Efectividad'!C26</f>
        <v>Proyectos de formación en actividades</v>
      </c>
      <c r="E15" s="549">
        <f>+'Tablero Eficacia - Efectividad'!I26</f>
        <v>1</v>
      </c>
      <c r="F15" s="543">
        <f>+'Tablero Eficacia - Efectividad'!L26</f>
        <v>1</v>
      </c>
    </row>
    <row r="16" spans="3:6" x14ac:dyDescent="0.25">
      <c r="C16" s="750"/>
      <c r="D16" s="533" t="str">
        <f>+'Tablero Eficacia - Efectividad'!C27</f>
        <v>Proyectos  de  apoyo a las actividades</v>
      </c>
      <c r="E16" s="554">
        <f>+'Tablero Eficacia - Efectividad'!I27</f>
        <v>0.9</v>
      </c>
      <c r="F16" s="541">
        <f>+'Tablero Eficacia - Efectividad'!L27</f>
        <v>1</v>
      </c>
    </row>
    <row r="17" spans="3:6" ht="15.75" thickBot="1" x14ac:dyDescent="0.3">
      <c r="C17" s="751"/>
      <c r="D17" s="534" t="str">
        <f>+'Tablero Eficacia - Efectividad'!C28</f>
        <v>Programa  de transferencia de conocimiento</v>
      </c>
      <c r="E17" s="535" t="str">
        <f>+'Tablero Eficacia - Efectividad'!I28</f>
        <v>No tiene, es la primera vez que se mide este impacto</v>
      </c>
      <c r="F17" s="542">
        <f>+'Tablero Eficacia - Efectividad'!L28</f>
        <v>0</v>
      </c>
    </row>
    <row r="18" spans="3:6" ht="26.25" thickBot="1" x14ac:dyDescent="0.3">
      <c r="C18" s="540" t="s">
        <v>327</v>
      </c>
      <c r="D18" s="538" t="str">
        <f>+'Tablero Eficacia - Efectividad'!C8</f>
        <v>Programas acreditados</v>
      </c>
      <c r="E18" s="539">
        <f>+'Tablero Eficacia - Efectividad'!I8</f>
        <v>0.1111111111111111</v>
      </c>
      <c r="F18" s="544">
        <f>+'Tablero Eficacia - Efectividad'!L8</f>
        <v>0.1111111111111111</v>
      </c>
    </row>
    <row r="19" spans="3:6" ht="30.75" customHeight="1" x14ac:dyDescent="0.25">
      <c r="C19" s="749" t="s">
        <v>328</v>
      </c>
      <c r="D19" s="530" t="str">
        <f>+'Tablero Eficacia - Efectividad'!C11</f>
        <v>Cumplimiento de actividades de movilidad</v>
      </c>
      <c r="E19" s="558">
        <f>+'Tablero Eficacia - Efectividad'!I11</f>
        <v>0.94169999999999998</v>
      </c>
      <c r="F19" s="543">
        <f>+'Tablero Eficacia - Efectividad'!L11</f>
        <v>1</v>
      </c>
    </row>
    <row r="20" spans="3:6" ht="15.75" thickBot="1" x14ac:dyDescent="0.3">
      <c r="C20" s="751"/>
      <c r="D20" s="534" t="str">
        <f>+'Tablero Eficacia - Efectividad'!C18</f>
        <v>Participación en comunidades académicas</v>
      </c>
      <c r="E20" s="535" t="str">
        <f>+'Tablero Eficacia - Efectividad'!I18</f>
        <v>No tiene, es la primera vez que se mide este impacto</v>
      </c>
      <c r="F20" s="542">
        <f>+'Tablero Eficacia - Efectividad'!L18</f>
        <v>1</v>
      </c>
    </row>
    <row r="21" spans="3:6" x14ac:dyDescent="0.25">
      <c r="C21" s="749" t="s">
        <v>329</v>
      </c>
      <c r="D21" s="536" t="str">
        <f>+'Tablero Eficacia - Efectividad'!C12</f>
        <v>Cumplimiento del Plan de Desarrollo Institucional</v>
      </c>
      <c r="E21" s="549">
        <f>+'Tablero Eficacia - Efectividad'!I12</f>
        <v>0.97</v>
      </c>
      <c r="F21" s="543">
        <f>+'Tablero Eficacia - Efectividad'!L12</f>
        <v>0.98</v>
      </c>
    </row>
    <row r="22" spans="3:6" x14ac:dyDescent="0.25">
      <c r="C22" s="750"/>
      <c r="D22" s="533" t="str">
        <f>+'Tablero Eficacia - Efectividad'!C37</f>
        <v>Seguimiento a las hojas de vida de los funcionarios</v>
      </c>
      <c r="E22" s="525">
        <f>+'Tablero Eficacia - Efectividad'!I37</f>
        <v>0</v>
      </c>
      <c r="F22" s="541">
        <f>+'Tablero Eficacia - Efectividad'!L37</f>
        <v>1</v>
      </c>
    </row>
    <row r="23" spans="3:6" x14ac:dyDescent="0.25">
      <c r="C23" s="750"/>
      <c r="D23" s="533" t="str">
        <f>+'Tablero Eficacia - Efectividad'!C38</f>
        <v xml:space="preserve">Seguimiento al servicio permanente </v>
      </c>
      <c r="E23" s="554">
        <f>+'Tablero Eficacia - Efectividad'!I38</f>
        <v>0.85</v>
      </c>
      <c r="F23" s="541">
        <f>+'Tablero Eficacia - Efectividad'!L38</f>
        <v>0.92</v>
      </c>
    </row>
    <row r="24" spans="3:6" x14ac:dyDescent="0.25">
      <c r="C24" s="750"/>
      <c r="D24" s="533" t="str">
        <f>+'Tablero Eficacia - Efectividad'!C39</f>
        <v xml:space="preserve">Clima laboral </v>
      </c>
      <c r="E24" s="554">
        <f>+'Tablero Eficacia - Efectividad'!I39</f>
        <v>41.3</v>
      </c>
      <c r="F24" s="545">
        <f>+'Tablero Eficacia - Efectividad'!L39</f>
        <v>50</v>
      </c>
    </row>
    <row r="25" spans="3:6" ht="36.75" customHeight="1" x14ac:dyDescent="0.25">
      <c r="C25" s="750"/>
      <c r="D25" s="527" t="str">
        <f>+'Tablero Eficacia - Efectividad'!C42</f>
        <v xml:space="preserve">Cumplimiento del programa de bienestar laboral </v>
      </c>
      <c r="E25" s="552">
        <f>+'Tablero Eficacia - Efectividad'!I42</f>
        <v>1</v>
      </c>
      <c r="F25" s="546">
        <f>+'Tablero Eficacia - Efectividad'!L42</f>
        <v>1</v>
      </c>
    </row>
    <row r="26" spans="3:6" ht="15.75" thickBot="1" x14ac:dyDescent="0.3">
      <c r="C26" s="751"/>
      <c r="D26" s="534" t="str">
        <f>+'Tablero Eficacia - Efectividad'!C44</f>
        <v>Cumplimiento del plan de capacitación</v>
      </c>
      <c r="E26" s="553">
        <f>+'Tablero Eficacia - Efectividad'!I44</f>
        <v>1</v>
      </c>
      <c r="F26" s="542">
        <f>+'Tablero Eficacia - Efectividad'!L44</f>
        <v>1</v>
      </c>
    </row>
    <row r="27" spans="3:6" x14ac:dyDescent="0.25">
      <c r="C27" s="749" t="s">
        <v>330</v>
      </c>
      <c r="D27" s="536" t="str">
        <f>+'Tablero Eficacia - Efectividad'!C19</f>
        <v>Uso de talleres y laboratorios</v>
      </c>
      <c r="E27" s="537" t="str">
        <f>+'Tablero Eficacia - Efectividad'!I19</f>
        <v>No tiene, es la primera vez que se mide este impacto</v>
      </c>
      <c r="F27" s="543">
        <f>+'Tablero Eficacia - Efectividad'!L19</f>
        <v>1</v>
      </c>
    </row>
    <row r="28" spans="3:6" x14ac:dyDescent="0.25">
      <c r="C28" s="750"/>
      <c r="D28" s="533" t="str">
        <f>+'Tablero Eficacia - Efectividad'!C31</f>
        <v xml:space="preserve">Beneficiados de actividad </v>
      </c>
      <c r="E28" s="526" t="str">
        <f>+'Tablero Eficacia - Efectividad'!I31</f>
        <v>No tiene, es la primera vez que se mide este impacto</v>
      </c>
      <c r="F28" s="541">
        <f>+'Tablero Eficacia - Efectividad'!L31</f>
        <v>0</v>
      </c>
    </row>
    <row r="29" spans="3:6" ht="15.75" thickBot="1" x14ac:dyDescent="0.3">
      <c r="C29" s="751"/>
      <c r="D29" s="534" t="str">
        <f>+'Tablero Eficacia - Efectividad'!C32</f>
        <v>Actividades de formación integral</v>
      </c>
      <c r="E29" s="553">
        <f>+'Tablero Eficacia - Efectividad'!I32</f>
        <v>0.98</v>
      </c>
      <c r="F29" s="542">
        <f>+'Tablero Eficacia - Efectividad'!L32</f>
        <v>1</v>
      </c>
    </row>
    <row r="37" spans="11:14" x14ac:dyDescent="0.25">
      <c r="N37" s="515"/>
    </row>
    <row r="38" spans="11:14" x14ac:dyDescent="0.25">
      <c r="K38" s="517"/>
      <c r="N38" s="517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G10"/>
  <sheetViews>
    <sheetView workbookViewId="0"/>
  </sheetViews>
  <sheetFormatPr baseColWidth="10" defaultColWidth="11.42578125" defaultRowHeight="15" x14ac:dyDescent="0.25"/>
  <sheetData>
    <row r="8" spans="5:7" ht="15.75" thickBot="1" x14ac:dyDescent="0.3"/>
    <row r="9" spans="5:7" ht="252.75" thickBot="1" x14ac:dyDescent="0.3">
      <c r="E9" s="430">
        <v>1</v>
      </c>
      <c r="F9" s="431">
        <v>0.9</v>
      </c>
      <c r="G9" s="407" t="s">
        <v>227</v>
      </c>
    </row>
    <row r="10" spans="5:7" ht="252.75" thickBot="1" x14ac:dyDescent="0.3">
      <c r="E10" s="430">
        <v>1</v>
      </c>
      <c r="F10" s="431">
        <v>0.9</v>
      </c>
      <c r="G10" s="407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 x14ac:dyDescent="0.25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7109375" customWidth="1" outlineLevel="1"/>
    <col min="24" max="25" width="7.71093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7109375" customWidth="1"/>
    <col min="31" max="31" width="14.140625" customWidth="1"/>
    <col min="32" max="32" width="16.28515625" customWidth="1"/>
    <col min="33" max="33" width="14.42578125" customWidth="1"/>
    <col min="34" max="34" width="13.140625" customWidth="1"/>
    <col min="35" max="35" width="14.71093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 x14ac:dyDescent="0.25">
      <c r="A1" s="717" t="s">
        <v>47</v>
      </c>
      <c r="B1" s="717"/>
      <c r="C1" s="718"/>
      <c r="D1" s="719" t="s">
        <v>56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1"/>
      <c r="AD1" s="733" t="s">
        <v>31</v>
      </c>
      <c r="AE1" s="733"/>
    </row>
    <row r="2" spans="1:58" ht="15" customHeight="1" x14ac:dyDescent="0.25">
      <c r="A2" s="718"/>
      <c r="B2" s="718"/>
      <c r="C2" s="718"/>
      <c r="D2" s="722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4"/>
      <c r="AD2" s="733"/>
      <c r="AE2" s="733"/>
    </row>
    <row r="3" spans="1:58" ht="15" customHeight="1" x14ac:dyDescent="0.25">
      <c r="A3" s="718"/>
      <c r="B3" s="718"/>
      <c r="C3" s="718"/>
      <c r="D3" s="725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7"/>
      <c r="AD3" s="733"/>
      <c r="AE3" s="733"/>
    </row>
    <row r="4" spans="1:58" ht="15" customHeight="1" x14ac:dyDescent="0.25">
      <c r="A4" s="718"/>
      <c r="B4" s="718"/>
      <c r="C4" s="718"/>
      <c r="D4" s="734" t="s">
        <v>44</v>
      </c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6"/>
      <c r="AD4" s="740" t="s">
        <v>32</v>
      </c>
      <c r="AE4" s="740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5">
      <c r="A5" s="718"/>
      <c r="B5" s="718"/>
      <c r="C5" s="718"/>
      <c r="D5" s="737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9"/>
      <c r="AD5" s="741">
        <v>42731</v>
      </c>
      <c r="AE5" s="741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x14ac:dyDescent="0.25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 x14ac:dyDescent="0.3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 x14ac:dyDescent="0.25">
      <c r="A8" s="756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 x14ac:dyDescent="0.25">
      <c r="A9" s="757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 x14ac:dyDescent="0.3">
      <c r="A10" s="758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 x14ac:dyDescent="0.25">
      <c r="A11" s="755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 x14ac:dyDescent="0.25">
      <c r="A12" s="755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 x14ac:dyDescent="0.25">
      <c r="A13" s="755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 x14ac:dyDescent="0.25">
      <c r="A14" s="755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 x14ac:dyDescent="0.25">
      <c r="A15" s="755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 x14ac:dyDescent="0.25">
      <c r="A16" s="755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 x14ac:dyDescent="0.3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 x14ac:dyDescent="0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 x14ac:dyDescent="0.3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 x14ac:dyDescent="0.25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 x14ac:dyDescent="0.25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 x14ac:dyDescent="0.25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 x14ac:dyDescent="0.2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4" workbookViewId="0">
      <selection activeCell="L46" sqref="L46"/>
    </sheetView>
  </sheetViews>
  <sheetFormatPr baseColWidth="10" defaultColWidth="11.42578125" defaultRowHeight="15" x14ac:dyDescent="0.25"/>
  <cols>
    <col min="1" max="1" width="3.140625" customWidth="1"/>
    <col min="2" max="2" width="14.7109375" customWidth="1"/>
    <col min="3" max="3" width="20.140625" customWidth="1"/>
    <col min="4" max="4" width="14.28515625" customWidth="1"/>
    <col min="5" max="5" width="17.28515625" customWidth="1"/>
    <col min="6" max="6" width="14.42578125" customWidth="1"/>
    <col min="7" max="7" width="15" customWidth="1"/>
    <col min="8" max="8" width="15.7109375" customWidth="1"/>
    <col min="9" max="9" width="21.42578125" customWidth="1"/>
    <col min="10" max="10" width="14.42578125" customWidth="1"/>
    <col min="11" max="11" width="20.7109375" customWidth="1"/>
    <col min="12" max="12" width="13.7109375" customWidth="1"/>
  </cols>
  <sheetData>
    <row r="1" spans="2:12" ht="24" customHeight="1" x14ac:dyDescent="0.25">
      <c r="B1" s="762" t="s">
        <v>47</v>
      </c>
      <c r="C1" s="763"/>
      <c r="D1" s="766" t="s">
        <v>0</v>
      </c>
      <c r="E1" s="767"/>
      <c r="F1" s="767"/>
      <c r="G1" s="767"/>
      <c r="H1" s="767"/>
      <c r="I1" s="768"/>
      <c r="J1" s="775" t="s">
        <v>31</v>
      </c>
      <c r="K1" s="776"/>
    </row>
    <row r="2" spans="2:12" ht="15" customHeight="1" x14ac:dyDescent="0.25">
      <c r="B2" s="764"/>
      <c r="C2" s="765"/>
      <c r="D2" s="769"/>
      <c r="E2" s="770"/>
      <c r="F2" s="770"/>
      <c r="G2" s="770"/>
      <c r="H2" s="770"/>
      <c r="I2" s="771"/>
      <c r="J2" s="777"/>
      <c r="K2" s="778"/>
    </row>
    <row r="3" spans="2:12" ht="15" customHeight="1" x14ac:dyDescent="0.25">
      <c r="B3" s="764"/>
      <c r="C3" s="765"/>
      <c r="D3" s="772"/>
      <c r="E3" s="773"/>
      <c r="F3" s="773"/>
      <c r="G3" s="773"/>
      <c r="H3" s="773"/>
      <c r="I3" s="774"/>
      <c r="J3" s="777"/>
      <c r="K3" s="778"/>
    </row>
    <row r="4" spans="2:12" ht="15" customHeight="1" x14ac:dyDescent="0.25">
      <c r="B4" s="764"/>
      <c r="C4" s="765"/>
      <c r="D4" s="779" t="s">
        <v>44</v>
      </c>
      <c r="E4" s="779"/>
      <c r="F4" s="779"/>
      <c r="G4" s="779"/>
      <c r="H4" s="779"/>
      <c r="I4" s="779"/>
      <c r="J4" s="781" t="s">
        <v>32</v>
      </c>
      <c r="K4" s="782"/>
    </row>
    <row r="5" spans="2:12" ht="15.75" customHeight="1" thickBot="1" x14ac:dyDescent="0.3">
      <c r="B5" s="764"/>
      <c r="C5" s="765"/>
      <c r="D5" s="780"/>
      <c r="E5" s="780"/>
      <c r="F5" s="780"/>
      <c r="G5" s="780"/>
      <c r="H5" s="780"/>
      <c r="I5" s="780"/>
      <c r="J5" s="783">
        <v>42664</v>
      </c>
      <c r="K5" s="784"/>
    </row>
    <row r="6" spans="2:12" ht="15.75" thickBot="1" x14ac:dyDescent="0.3">
      <c r="B6" s="759"/>
      <c r="C6" s="760"/>
      <c r="D6" s="760"/>
      <c r="E6" s="760"/>
      <c r="F6" s="760"/>
      <c r="G6" s="760"/>
      <c r="H6" s="760"/>
      <c r="I6" s="761"/>
      <c r="J6" s="787"/>
      <c r="K6" s="788"/>
      <c r="L6" s="4"/>
    </row>
    <row r="7" spans="2:12" ht="48" x14ac:dyDescent="0.25">
      <c r="B7" s="789" t="s">
        <v>33</v>
      </c>
      <c r="C7" s="792" t="s">
        <v>90</v>
      </c>
      <c r="D7" s="789" t="s">
        <v>34</v>
      </c>
      <c r="E7" s="82" t="s">
        <v>61</v>
      </c>
      <c r="F7" s="789" t="s">
        <v>52</v>
      </c>
      <c r="G7" s="792" t="s">
        <v>51</v>
      </c>
      <c r="H7" s="789" t="s">
        <v>35</v>
      </c>
      <c r="I7" s="83" t="s">
        <v>63</v>
      </c>
      <c r="J7" s="789" t="s">
        <v>36</v>
      </c>
      <c r="K7" s="88"/>
      <c r="L7" s="5"/>
    </row>
    <row r="8" spans="2:12" ht="60" x14ac:dyDescent="0.25">
      <c r="B8" s="790"/>
      <c r="C8" s="793"/>
      <c r="D8" s="790"/>
      <c r="E8" s="82" t="s">
        <v>83</v>
      </c>
      <c r="F8" s="790"/>
      <c r="G8" s="793"/>
      <c r="H8" s="790"/>
      <c r="I8" s="83" t="s">
        <v>82</v>
      </c>
      <c r="J8" s="790"/>
      <c r="K8" s="88"/>
      <c r="L8" s="5"/>
    </row>
    <row r="9" spans="2:12" ht="36" x14ac:dyDescent="0.25">
      <c r="B9" s="790"/>
      <c r="C9" s="793"/>
      <c r="D9" s="790"/>
      <c r="E9" s="82" t="s">
        <v>68</v>
      </c>
      <c r="F9" s="790"/>
      <c r="G9" s="793"/>
      <c r="H9" s="790"/>
      <c r="I9" s="83" t="s">
        <v>66</v>
      </c>
      <c r="J9" s="790"/>
      <c r="K9" s="88"/>
      <c r="L9" s="5"/>
    </row>
    <row r="10" spans="2:12" ht="48" x14ac:dyDescent="0.25">
      <c r="B10" s="790"/>
      <c r="C10" s="793"/>
      <c r="D10" s="790"/>
      <c r="E10" s="82" t="s">
        <v>69</v>
      </c>
      <c r="F10" s="790"/>
      <c r="G10" s="793"/>
      <c r="H10" s="790"/>
      <c r="I10" s="83" t="s">
        <v>67</v>
      </c>
      <c r="J10" s="790"/>
      <c r="K10" s="88"/>
      <c r="L10" s="5"/>
    </row>
    <row r="11" spans="2:12" ht="36" x14ac:dyDescent="0.25">
      <c r="B11" s="790"/>
      <c r="C11" s="793"/>
      <c r="D11" s="790"/>
      <c r="E11" s="82" t="s">
        <v>84</v>
      </c>
      <c r="F11" s="790"/>
      <c r="G11" s="793"/>
      <c r="H11" s="790"/>
      <c r="I11" s="83" t="s">
        <v>85</v>
      </c>
      <c r="J11" s="790"/>
      <c r="K11" s="88"/>
      <c r="L11" s="5"/>
    </row>
    <row r="12" spans="2:12" ht="48.75" thickBot="1" x14ac:dyDescent="0.3">
      <c r="B12" s="791"/>
      <c r="C12" s="794"/>
      <c r="D12" s="790"/>
      <c r="E12" s="82" t="s">
        <v>70</v>
      </c>
      <c r="F12" s="790"/>
      <c r="G12" s="793"/>
      <c r="H12" s="790"/>
      <c r="I12" s="83" t="s">
        <v>64</v>
      </c>
      <c r="J12" s="790"/>
      <c r="K12" s="88"/>
      <c r="L12" s="6"/>
    </row>
    <row r="13" spans="2:12" ht="24.75" thickBot="1" x14ac:dyDescent="0.3">
      <c r="B13" s="85" t="s">
        <v>37</v>
      </c>
      <c r="C13" s="84"/>
      <c r="D13" s="790"/>
      <c r="E13" s="82" t="s">
        <v>71</v>
      </c>
      <c r="F13" s="790"/>
      <c r="G13" s="793"/>
      <c r="H13" s="790"/>
      <c r="I13" s="83" t="s">
        <v>65</v>
      </c>
      <c r="J13" s="790"/>
      <c r="K13" s="88"/>
      <c r="L13" s="6"/>
    </row>
    <row r="14" spans="2:12" ht="48" customHeight="1" thickBot="1" x14ac:dyDescent="0.3">
      <c r="B14" s="85" t="s">
        <v>38</v>
      </c>
      <c r="C14" s="84"/>
      <c r="D14" s="790"/>
      <c r="E14" s="82" t="s">
        <v>89</v>
      </c>
      <c r="F14" s="790"/>
      <c r="G14" s="793"/>
      <c r="H14" s="790"/>
      <c r="I14" s="83" t="s">
        <v>87</v>
      </c>
      <c r="J14" s="790"/>
      <c r="K14" s="88"/>
      <c r="L14" s="6"/>
    </row>
    <row r="15" spans="2:12" ht="42.95" customHeight="1" thickBot="1" x14ac:dyDescent="0.3">
      <c r="B15" s="86" t="s">
        <v>39</v>
      </c>
      <c r="C15" s="87">
        <v>42734</v>
      </c>
      <c r="D15" s="791"/>
      <c r="E15" s="82" t="s">
        <v>88</v>
      </c>
      <c r="F15" s="791"/>
      <c r="G15" s="795"/>
      <c r="H15" s="791"/>
      <c r="I15" s="83" t="s">
        <v>86</v>
      </c>
      <c r="J15" s="791"/>
      <c r="K15" s="89"/>
      <c r="L15" s="6"/>
    </row>
    <row r="16" spans="2:12" ht="15.75" thickBot="1" x14ac:dyDescent="0.3">
      <c r="B16" s="799"/>
      <c r="C16" s="800"/>
      <c r="D16" s="800"/>
      <c r="E16" s="801"/>
      <c r="F16" s="802"/>
      <c r="G16" s="801"/>
      <c r="H16" s="802"/>
      <c r="I16" s="801"/>
      <c r="J16" s="802"/>
      <c r="K16" s="803"/>
    </row>
    <row r="17" spans="2:11" x14ac:dyDescent="0.25">
      <c r="B17" s="804" t="s">
        <v>40</v>
      </c>
      <c r="C17" s="42" t="s">
        <v>91</v>
      </c>
      <c r="D17" s="33">
        <v>0.1</v>
      </c>
      <c r="E17" s="804" t="s">
        <v>41</v>
      </c>
      <c r="F17" s="34"/>
      <c r="G17" s="807" t="s">
        <v>42</v>
      </c>
      <c r="H17" s="35"/>
      <c r="I17" s="807" t="s">
        <v>45</v>
      </c>
      <c r="J17" s="90"/>
      <c r="K17" s="94" t="s">
        <v>43</v>
      </c>
    </row>
    <row r="18" spans="2:11" x14ac:dyDescent="0.25">
      <c r="B18" s="805"/>
      <c r="C18" s="43" t="s">
        <v>92</v>
      </c>
      <c r="D18" s="36">
        <v>0.1</v>
      </c>
      <c r="E18" s="805"/>
      <c r="F18" s="37"/>
      <c r="G18" s="808"/>
      <c r="H18" s="38"/>
      <c r="I18" s="808"/>
      <c r="J18" s="91"/>
      <c r="K18" s="95" t="s">
        <v>43</v>
      </c>
    </row>
    <row r="19" spans="2:11" x14ac:dyDescent="0.25">
      <c r="B19" s="805"/>
      <c r="C19" s="43" t="s">
        <v>93</v>
      </c>
      <c r="D19" s="36">
        <v>0.1</v>
      </c>
      <c r="E19" s="805"/>
      <c r="F19" s="37"/>
      <c r="G19" s="808"/>
      <c r="H19" s="38"/>
      <c r="I19" s="808"/>
      <c r="J19" s="91"/>
      <c r="K19" s="95" t="s">
        <v>43</v>
      </c>
    </row>
    <row r="20" spans="2:11" x14ac:dyDescent="0.25">
      <c r="B20" s="805"/>
      <c r="C20" s="43" t="s">
        <v>94</v>
      </c>
      <c r="D20" s="36">
        <v>0.1</v>
      </c>
      <c r="E20" s="805"/>
      <c r="F20" s="37"/>
      <c r="G20" s="808"/>
      <c r="H20" s="38"/>
      <c r="I20" s="808"/>
      <c r="J20" s="91"/>
      <c r="K20" s="95" t="s">
        <v>43</v>
      </c>
    </row>
    <row r="21" spans="2:11" x14ac:dyDescent="0.25">
      <c r="B21" s="805"/>
      <c r="C21" s="43" t="s">
        <v>95</v>
      </c>
      <c r="D21" s="36">
        <v>0.1</v>
      </c>
      <c r="E21" s="805"/>
      <c r="F21" s="37"/>
      <c r="G21" s="808"/>
      <c r="H21" s="38"/>
      <c r="I21" s="808"/>
      <c r="J21" s="91"/>
      <c r="K21" s="95" t="s">
        <v>43</v>
      </c>
    </row>
    <row r="22" spans="2:11" x14ac:dyDescent="0.25">
      <c r="B22" s="805"/>
      <c r="C22" s="43" t="s">
        <v>96</v>
      </c>
      <c r="D22" s="36">
        <v>0.1</v>
      </c>
      <c r="E22" s="805"/>
      <c r="F22" s="37"/>
      <c r="G22" s="808"/>
      <c r="H22" s="38"/>
      <c r="I22" s="808"/>
      <c r="J22" s="91"/>
      <c r="K22" s="95" t="s">
        <v>43</v>
      </c>
    </row>
    <row r="23" spans="2:11" x14ac:dyDescent="0.25">
      <c r="B23" s="805"/>
      <c r="C23" s="43" t="s">
        <v>97</v>
      </c>
      <c r="D23" s="36">
        <v>0.1</v>
      </c>
      <c r="E23" s="805"/>
      <c r="F23" s="37"/>
      <c r="G23" s="808"/>
      <c r="H23" s="38"/>
      <c r="I23" s="808"/>
      <c r="J23" s="91"/>
      <c r="K23" s="95" t="s">
        <v>43</v>
      </c>
    </row>
    <row r="24" spans="2:11" x14ac:dyDescent="0.25">
      <c r="B24" s="805"/>
      <c r="C24" s="43" t="s">
        <v>98</v>
      </c>
      <c r="D24" s="36">
        <v>0.1</v>
      </c>
      <c r="E24" s="805"/>
      <c r="F24" s="37"/>
      <c r="G24" s="808"/>
      <c r="H24" s="38"/>
      <c r="I24" s="808"/>
      <c r="J24" s="91"/>
      <c r="K24" s="95" t="s">
        <v>43</v>
      </c>
    </row>
    <row r="25" spans="2:11" ht="15.75" thickBot="1" x14ac:dyDescent="0.3">
      <c r="B25" s="806"/>
      <c r="C25" s="44" t="s">
        <v>99</v>
      </c>
      <c r="D25" s="39">
        <v>0.1</v>
      </c>
      <c r="E25" s="806"/>
      <c r="F25" s="40"/>
      <c r="G25" s="809"/>
      <c r="H25" s="41"/>
      <c r="I25" s="809"/>
      <c r="J25" s="92"/>
      <c r="K25" s="96" t="s">
        <v>43</v>
      </c>
    </row>
    <row r="26" spans="2:11" s="8" customFormat="1" x14ac:dyDescent="0.25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 x14ac:dyDescent="0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 x14ac:dyDescent="0.25">
      <c r="B28" s="12">
        <v>42736</v>
      </c>
      <c r="C28" s="11">
        <v>102</v>
      </c>
      <c r="D28" s="10">
        <f>'Tablero Estratégico'!$AC$27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 x14ac:dyDescent="0.25">
      <c r="B29" s="12">
        <v>42767</v>
      </c>
      <c r="C29" s="11">
        <v>80</v>
      </c>
      <c r="D29" s="10">
        <f>'Tablero Estratégico'!$AC$27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 x14ac:dyDescent="0.25">
      <c r="B30" s="12">
        <v>42795</v>
      </c>
      <c r="C30" s="11">
        <v>50</v>
      </c>
      <c r="D30" s="10">
        <f>'Tablero Estratégico'!$AC$27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 x14ac:dyDescent="0.25">
      <c r="B31" s="12">
        <v>42826</v>
      </c>
      <c r="C31" s="11">
        <v>30</v>
      </c>
      <c r="D31" s="10">
        <f>'Tablero Estratégico'!$AC$27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 x14ac:dyDescent="0.25">
      <c r="B32" s="12">
        <v>42856</v>
      </c>
      <c r="C32" s="11">
        <v>60</v>
      </c>
      <c r="D32" s="10">
        <f>'Tablero Estratégico'!$AC$27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 x14ac:dyDescent="0.25">
      <c r="B33" s="12">
        <v>42887</v>
      </c>
      <c r="C33" s="11">
        <v>100</v>
      </c>
      <c r="D33" s="10">
        <f>'Tablero Estratégico'!$AC$27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 x14ac:dyDescent="0.25">
      <c r="B34" s="12">
        <v>42917</v>
      </c>
      <c r="C34" s="11">
        <v>30</v>
      </c>
      <c r="D34" s="10">
        <f>'Tablero Estratégico'!$AC$27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 x14ac:dyDescent="0.25">
      <c r="B35" s="12">
        <v>42948</v>
      </c>
      <c r="C35" s="11">
        <v>90</v>
      </c>
      <c r="D35" s="10">
        <f>'Tablero Estratégico'!$AC$27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 x14ac:dyDescent="0.25">
      <c r="B36" s="12">
        <v>42979</v>
      </c>
      <c r="C36" s="11">
        <v>80</v>
      </c>
      <c r="D36" s="10">
        <f>'Tablero Estratégico'!$AC$27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 x14ac:dyDescent="0.25">
      <c r="B37" s="12">
        <v>43009</v>
      </c>
      <c r="C37" s="11">
        <v>100</v>
      </c>
      <c r="D37" s="10">
        <f>'Tablero Estratégico'!$AC$27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 x14ac:dyDescent="0.25">
      <c r="B38" s="12">
        <v>43040</v>
      </c>
      <c r="C38" s="11">
        <v>102</v>
      </c>
      <c r="D38" s="10">
        <f>'Tablero Estratégico'!$AC$27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 x14ac:dyDescent="0.3">
      <c r="B39" s="68">
        <v>43070</v>
      </c>
      <c r="C39" s="11">
        <f>COUNTIF(('Tablero Estratégico'!$AF$5:$AF$25),1)</f>
        <v>1</v>
      </c>
      <c r="D39" s="10">
        <f>'Tablero Estratégico'!$AC$27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 x14ac:dyDescent="0.3">
      <c r="B40" s="796" t="s">
        <v>60</v>
      </c>
      <c r="C40" s="797"/>
      <c r="D40" s="798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 x14ac:dyDescent="0.25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 x14ac:dyDescent="0.25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 x14ac:dyDescent="0.3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 x14ac:dyDescent="0.3">
      <c r="A44" s="785"/>
      <c r="B44" s="759" t="s">
        <v>49</v>
      </c>
      <c r="C44" s="760"/>
      <c r="D44" s="760"/>
      <c r="E44" s="760"/>
      <c r="F44" s="760"/>
      <c r="G44" s="760"/>
      <c r="H44" s="760"/>
      <c r="I44" s="760"/>
      <c r="J44" s="760"/>
      <c r="K44" s="761"/>
    </row>
    <row r="45" spans="1:11" ht="15.75" thickBot="1" x14ac:dyDescent="0.3">
      <c r="A45" s="786"/>
      <c r="B45" s="12">
        <v>42736</v>
      </c>
      <c r="C45" s="822"/>
      <c r="D45" s="823"/>
      <c r="E45" s="823"/>
      <c r="F45" s="823"/>
      <c r="G45" s="823"/>
      <c r="H45" s="823"/>
      <c r="I45" s="823"/>
      <c r="J45" s="823"/>
      <c r="K45" s="824"/>
    </row>
    <row r="46" spans="1:11" ht="15.75" thickBot="1" x14ac:dyDescent="0.3">
      <c r="A46" s="7"/>
      <c r="B46" s="12">
        <v>42767</v>
      </c>
      <c r="C46" s="822"/>
      <c r="D46" s="823"/>
      <c r="E46" s="823"/>
      <c r="F46" s="823"/>
      <c r="G46" s="823"/>
      <c r="H46" s="823"/>
      <c r="I46" s="823"/>
      <c r="J46" s="823"/>
      <c r="K46" s="824"/>
    </row>
    <row r="47" spans="1:11" ht="15.75" thickBot="1" x14ac:dyDescent="0.3">
      <c r="A47" s="8"/>
      <c r="B47" s="12">
        <v>42795</v>
      </c>
      <c r="C47" s="822"/>
      <c r="D47" s="823"/>
      <c r="E47" s="823"/>
      <c r="F47" s="823"/>
      <c r="G47" s="823"/>
      <c r="H47" s="823"/>
      <c r="I47" s="823"/>
      <c r="J47" s="823"/>
      <c r="K47" s="824"/>
    </row>
    <row r="48" spans="1:11" ht="15.75" thickBot="1" x14ac:dyDescent="0.3">
      <c r="A48" s="8"/>
      <c r="B48" s="12">
        <v>42826</v>
      </c>
      <c r="C48" s="822"/>
      <c r="D48" s="823"/>
      <c r="E48" s="823"/>
      <c r="F48" s="823"/>
      <c r="G48" s="823"/>
      <c r="H48" s="823"/>
      <c r="I48" s="823"/>
      <c r="J48" s="823"/>
      <c r="K48" s="824"/>
    </row>
    <row r="49" spans="1:11" ht="15.75" thickBot="1" x14ac:dyDescent="0.3">
      <c r="A49" s="8"/>
      <c r="B49" s="12">
        <v>42856</v>
      </c>
      <c r="C49" s="822"/>
      <c r="D49" s="823"/>
      <c r="E49" s="823"/>
      <c r="F49" s="823"/>
      <c r="G49" s="823"/>
      <c r="H49" s="823"/>
      <c r="I49" s="823"/>
      <c r="J49" s="823"/>
      <c r="K49" s="824"/>
    </row>
    <row r="50" spans="1:11" ht="15.75" thickBot="1" x14ac:dyDescent="0.3">
      <c r="A50" s="8"/>
      <c r="B50" s="12">
        <v>42887</v>
      </c>
      <c r="C50" s="822"/>
      <c r="D50" s="823"/>
      <c r="E50" s="823"/>
      <c r="F50" s="823"/>
      <c r="G50" s="823"/>
      <c r="H50" s="823"/>
      <c r="I50" s="823"/>
      <c r="J50" s="823"/>
      <c r="K50" s="824"/>
    </row>
    <row r="51" spans="1:11" ht="15.75" thickBot="1" x14ac:dyDescent="0.3">
      <c r="B51" s="12">
        <v>42917</v>
      </c>
      <c r="C51" s="822"/>
      <c r="D51" s="823"/>
      <c r="E51" s="823"/>
      <c r="F51" s="823"/>
      <c r="G51" s="823"/>
      <c r="H51" s="823"/>
      <c r="I51" s="823"/>
      <c r="J51" s="823"/>
      <c r="K51" s="824"/>
    </row>
    <row r="52" spans="1:11" ht="15.75" thickBot="1" x14ac:dyDescent="0.3">
      <c r="B52" s="12">
        <v>42948</v>
      </c>
      <c r="C52" s="822"/>
      <c r="D52" s="823"/>
      <c r="E52" s="823"/>
      <c r="F52" s="823"/>
      <c r="G52" s="823"/>
      <c r="H52" s="823"/>
      <c r="I52" s="823"/>
      <c r="J52" s="823"/>
      <c r="K52" s="824"/>
    </row>
    <row r="53" spans="1:11" ht="15.75" thickBot="1" x14ac:dyDescent="0.3">
      <c r="B53" s="12">
        <v>42979</v>
      </c>
      <c r="C53" s="822"/>
      <c r="D53" s="823"/>
      <c r="E53" s="823"/>
      <c r="F53" s="823"/>
      <c r="G53" s="823"/>
      <c r="H53" s="823"/>
      <c r="I53" s="823"/>
      <c r="J53" s="823"/>
      <c r="K53" s="824"/>
    </row>
    <row r="54" spans="1:11" ht="15.75" thickBot="1" x14ac:dyDescent="0.3">
      <c r="B54" s="12">
        <v>43009</v>
      </c>
      <c r="C54" s="822"/>
      <c r="D54" s="823"/>
      <c r="E54" s="823"/>
      <c r="F54" s="823"/>
      <c r="G54" s="823"/>
      <c r="H54" s="823"/>
      <c r="I54" s="823"/>
      <c r="J54" s="823"/>
      <c r="K54" s="824"/>
    </row>
    <row r="55" spans="1:11" ht="15.75" thickBot="1" x14ac:dyDescent="0.3">
      <c r="B55" s="12">
        <v>43040</v>
      </c>
      <c r="C55" s="822"/>
      <c r="D55" s="823"/>
      <c r="E55" s="823"/>
      <c r="F55" s="823"/>
      <c r="G55" s="823"/>
      <c r="H55" s="823"/>
      <c r="I55" s="823"/>
      <c r="J55" s="823"/>
      <c r="K55" s="824"/>
    </row>
    <row r="56" spans="1:11" ht="15.75" thickBot="1" x14ac:dyDescent="0.3">
      <c r="B56" s="68">
        <v>43070</v>
      </c>
      <c r="C56" s="822"/>
      <c r="D56" s="823"/>
      <c r="E56" s="823"/>
      <c r="F56" s="823"/>
      <c r="G56" s="823"/>
      <c r="H56" s="823"/>
      <c r="I56" s="823"/>
      <c r="J56" s="823"/>
      <c r="K56" s="824"/>
    </row>
    <row r="57" spans="1:11" ht="15.75" thickBot="1" x14ac:dyDescent="0.3">
      <c r="B57" s="45" t="s">
        <v>46</v>
      </c>
      <c r="C57" s="759" t="s">
        <v>27</v>
      </c>
      <c r="D57" s="760"/>
      <c r="E57" s="760"/>
      <c r="F57" s="760"/>
      <c r="G57" s="761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 x14ac:dyDescent="0.25">
      <c r="B58" s="46"/>
      <c r="C58" s="813"/>
      <c r="D58" s="814"/>
      <c r="E58" s="814"/>
      <c r="F58" s="814"/>
      <c r="G58" s="815"/>
      <c r="H58" s="55"/>
      <c r="I58" s="58"/>
      <c r="J58" s="52"/>
      <c r="K58" s="49"/>
    </row>
    <row r="59" spans="1:11" x14ac:dyDescent="0.25">
      <c r="B59" s="47"/>
      <c r="C59" s="816"/>
      <c r="D59" s="817"/>
      <c r="E59" s="817"/>
      <c r="F59" s="817"/>
      <c r="G59" s="818"/>
      <c r="H59" s="56"/>
      <c r="I59" s="59"/>
      <c r="J59" s="53"/>
      <c r="K59" s="50"/>
    </row>
    <row r="60" spans="1:11" x14ac:dyDescent="0.25">
      <c r="B60" s="47"/>
      <c r="C60" s="816"/>
      <c r="D60" s="817"/>
      <c r="E60" s="817"/>
      <c r="F60" s="817"/>
      <c r="G60" s="818"/>
      <c r="H60" s="56"/>
      <c r="I60" s="59"/>
      <c r="J60" s="53"/>
      <c r="K60" s="50"/>
    </row>
    <row r="61" spans="1:11" x14ac:dyDescent="0.25">
      <c r="B61" s="47"/>
      <c r="C61" s="816"/>
      <c r="D61" s="817"/>
      <c r="E61" s="817"/>
      <c r="F61" s="817"/>
      <c r="G61" s="818"/>
      <c r="H61" s="56"/>
      <c r="I61" s="59"/>
      <c r="J61" s="53"/>
      <c r="K61" s="50"/>
    </row>
    <row r="62" spans="1:11" x14ac:dyDescent="0.25">
      <c r="B62" s="47"/>
      <c r="C62" s="816"/>
      <c r="D62" s="817"/>
      <c r="E62" s="817"/>
      <c r="F62" s="817"/>
      <c r="G62" s="818"/>
      <c r="H62" s="56"/>
      <c r="I62" s="59"/>
      <c r="J62" s="53"/>
      <c r="K62" s="50"/>
    </row>
    <row r="63" spans="1:11" x14ac:dyDescent="0.25">
      <c r="B63" s="47"/>
      <c r="C63" s="816"/>
      <c r="D63" s="817"/>
      <c r="E63" s="817"/>
      <c r="F63" s="817"/>
      <c r="G63" s="818"/>
      <c r="H63" s="56"/>
      <c r="I63" s="59"/>
      <c r="J63" s="53"/>
      <c r="K63" s="50"/>
    </row>
    <row r="64" spans="1:11" x14ac:dyDescent="0.25">
      <c r="B64" s="47"/>
      <c r="C64" s="816"/>
      <c r="D64" s="817"/>
      <c r="E64" s="817"/>
      <c r="F64" s="817"/>
      <c r="G64" s="818"/>
      <c r="H64" s="56"/>
      <c r="I64" s="59"/>
      <c r="J64" s="53"/>
      <c r="K64" s="50"/>
    </row>
    <row r="65" spans="2:11" x14ac:dyDescent="0.25">
      <c r="B65" s="47"/>
      <c r="C65" s="819"/>
      <c r="D65" s="820"/>
      <c r="E65" s="820"/>
      <c r="F65" s="820"/>
      <c r="G65" s="821"/>
      <c r="H65" s="56"/>
      <c r="I65" s="59"/>
      <c r="J65" s="53"/>
      <c r="K65" s="50"/>
    </row>
    <row r="66" spans="2:11" ht="15.75" thickBot="1" x14ac:dyDescent="0.3">
      <c r="B66" s="48"/>
      <c r="C66" s="810"/>
      <c r="D66" s="811"/>
      <c r="E66" s="811"/>
      <c r="F66" s="811"/>
      <c r="G66" s="812"/>
      <c r="H66" s="57"/>
      <c r="I66" s="60"/>
      <c r="J66" s="54"/>
      <c r="K66" s="51"/>
    </row>
    <row r="67" spans="2:11" x14ac:dyDescent="0.25">
      <c r="F67" s="15"/>
      <c r="G67" s="15"/>
      <c r="H67" s="15"/>
      <c r="I67" s="15"/>
      <c r="J67" s="15"/>
      <c r="K67" s="15"/>
    </row>
    <row r="68" spans="2:11" x14ac:dyDescent="0.25">
      <c r="F68" s="8"/>
      <c r="G68" s="8"/>
      <c r="H68" s="8"/>
      <c r="I68" s="8"/>
    </row>
    <row r="69" spans="2:11" x14ac:dyDescent="0.25">
      <c r="F69" s="8"/>
      <c r="G69" s="8"/>
      <c r="H69" s="8"/>
      <c r="I69" s="8"/>
    </row>
    <row r="70" spans="2:11" x14ac:dyDescent="0.25">
      <c r="F70" s="8"/>
      <c r="G70" s="8"/>
      <c r="H70" s="8"/>
      <c r="I70" s="8"/>
    </row>
    <row r="71" spans="2:11" x14ac:dyDescent="0.25">
      <c r="F71" s="8"/>
      <c r="G71" s="8"/>
      <c r="H71" s="8"/>
      <c r="I71" s="8"/>
    </row>
    <row r="72" spans="2:11" x14ac:dyDescent="0.25">
      <c r="B72" s="15"/>
      <c r="C72" s="15"/>
      <c r="D72" s="15"/>
      <c r="E72" s="15"/>
      <c r="F72" s="8"/>
      <c r="G72" s="8"/>
      <c r="H72" s="8"/>
      <c r="I72" s="8"/>
    </row>
    <row r="73" spans="2:11" x14ac:dyDescent="0.25">
      <c r="D73" s="9"/>
      <c r="E73" s="8"/>
      <c r="F73" s="8"/>
      <c r="G73" s="8"/>
      <c r="H73" s="8"/>
      <c r="I73" s="8"/>
    </row>
    <row r="74" spans="2:11" x14ac:dyDescent="0.25">
      <c r="D74" s="9"/>
      <c r="E74" s="8"/>
      <c r="F74" s="8"/>
      <c r="G74" s="8"/>
      <c r="H74" s="8"/>
      <c r="I74" s="8"/>
    </row>
    <row r="75" spans="2:11" x14ac:dyDescent="0.25">
      <c r="D75" s="9"/>
      <c r="E75" s="8"/>
      <c r="F75" s="8"/>
      <c r="G75" s="8"/>
      <c r="H75" s="8"/>
      <c r="I75" s="8"/>
    </row>
    <row r="76" spans="2:11" x14ac:dyDescent="0.25">
      <c r="D76" s="9"/>
      <c r="E76" s="8"/>
    </row>
    <row r="77" spans="2:11" x14ac:dyDescent="0.25">
      <c r="D77" s="9"/>
      <c r="E77" s="8"/>
    </row>
    <row r="78" spans="2:11" x14ac:dyDescent="0.25">
      <c r="D78" s="8"/>
      <c r="E78" s="8"/>
    </row>
    <row r="79" spans="2:11" x14ac:dyDescent="0.25">
      <c r="D79" s="8"/>
      <c r="E79" s="8"/>
    </row>
    <row r="80" spans="2:11" x14ac:dyDescent="0.25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Tablero Estratégico</vt:lpstr>
      <vt:lpstr>Tablero Eficacia - Efectividad</vt:lpstr>
      <vt:lpstr>Tablero Objeivos de Calidad</vt:lpstr>
      <vt:lpstr>Hoja4</vt:lpstr>
      <vt:lpstr>Tablero Maestro (2)</vt:lpstr>
      <vt:lpstr>Hoja1</vt:lpstr>
      <vt:lpstr>DE</vt:lpstr>
      <vt:lpstr>'Tablero Objeivos de Calidad'!Área_de_impresión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2017-05-30T13:37:10Z</dcterms:modified>
</cp:coreProperties>
</file>